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4E9BA640-79D3-4D58-9D17-B37BB38AD003}" xr6:coauthVersionLast="36" xr6:coauthVersionMax="36" xr10:uidLastSave="{00000000-0000-0000-0000-000000000000}"/>
  <bookViews>
    <workbookView xWindow="240" yWindow="105" windowWidth="14805" windowHeight="8010" tabRatio="636" xr2:uid="{00000000-000D-0000-FFFF-FFFF00000000}"/>
  </bookViews>
  <sheets>
    <sheet name="ETPR PM PNM" sheetId="6" r:id="rId1"/>
    <sheet name="Indicateurs RH et Financiers" sheetId="1" state="hidden" r:id="rId2"/>
    <sheet name="Budget H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</workbook>
</file>

<file path=xl/calcChain.xml><?xml version="1.0" encoding="utf-8"?>
<calcChain xmlns="http://schemas.openxmlformats.org/spreadsheetml/2006/main">
  <c r="S31" i="6" l="1"/>
  <c r="P24" i="6"/>
  <c r="P21" i="6"/>
  <c r="AB24" i="6" s="1"/>
  <c r="AD24" i="6" s="1"/>
  <c r="AA15" i="6"/>
  <c r="AA25" i="6" s="1"/>
  <c r="AA32" i="6" s="1"/>
  <c r="Z15" i="6"/>
  <c r="Z25" i="6" s="1"/>
  <c r="Z32" i="6" s="1"/>
  <c r="Y15" i="6"/>
  <c r="X15" i="6"/>
  <c r="W15" i="6"/>
  <c r="V15" i="6"/>
  <c r="U15" i="6"/>
  <c r="T15" i="6"/>
  <c r="T25" i="6" s="1"/>
  <c r="S15" i="6"/>
  <c r="S25" i="6" s="1"/>
  <c r="R15" i="6"/>
  <c r="R25" i="6" s="1"/>
  <c r="Q15" i="6"/>
  <c r="P15" i="6"/>
  <c r="AA31" i="6"/>
  <c r="Z31" i="6"/>
  <c r="Y31" i="6"/>
  <c r="X31" i="6"/>
  <c r="X32" i="6" s="1"/>
  <c r="W31" i="6"/>
  <c r="W32" i="6" s="1"/>
  <c r="V31" i="6"/>
  <c r="U31" i="6"/>
  <c r="T31" i="6"/>
  <c r="R31" i="6"/>
  <c r="Q31" i="6"/>
  <c r="Q32" i="6" s="1"/>
  <c r="P31" i="6"/>
  <c r="D31" i="6"/>
  <c r="E31" i="6"/>
  <c r="F31" i="6"/>
  <c r="G31" i="6"/>
  <c r="G32" i="6" s="1"/>
  <c r="H31" i="6"/>
  <c r="H32" i="6" s="1"/>
  <c r="I31" i="6"/>
  <c r="I32" i="6" s="1"/>
  <c r="J31" i="6"/>
  <c r="J32" i="6" s="1"/>
  <c r="K31" i="6"/>
  <c r="K32" i="6" s="1"/>
  <c r="L31" i="6"/>
  <c r="M31" i="6"/>
  <c r="M32" i="6" s="1"/>
  <c r="N31" i="6"/>
  <c r="N32" i="6" s="1"/>
  <c r="C31" i="6"/>
  <c r="Y32" i="6"/>
  <c r="L32" i="6"/>
  <c r="F32" i="6"/>
  <c r="E32" i="6"/>
  <c r="D32" i="6"/>
  <c r="O24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Y25" i="6"/>
  <c r="X25" i="6"/>
  <c r="W25" i="6"/>
  <c r="V25" i="6"/>
  <c r="U25" i="6"/>
  <c r="Q25" i="6"/>
  <c r="AA24" i="6"/>
  <c r="Z24" i="6"/>
  <c r="Y24" i="6"/>
  <c r="X24" i="6"/>
  <c r="W24" i="6"/>
  <c r="V24" i="6"/>
  <c r="U24" i="6"/>
  <c r="T24" i="6"/>
  <c r="S24" i="6"/>
  <c r="R24" i="6"/>
  <c r="Q24" i="6"/>
  <c r="AA23" i="6"/>
  <c r="Z23" i="6"/>
  <c r="Y23" i="6"/>
  <c r="X23" i="6"/>
  <c r="W23" i="6"/>
  <c r="V23" i="6"/>
  <c r="U23" i="6"/>
  <c r="T23" i="6"/>
  <c r="S23" i="6"/>
  <c r="R23" i="6"/>
  <c r="Q23" i="6"/>
  <c r="P23" i="6"/>
  <c r="AA21" i="6"/>
  <c r="Z21" i="6"/>
  <c r="Y21" i="6"/>
  <c r="X21" i="6"/>
  <c r="W21" i="6"/>
  <c r="V21" i="6"/>
  <c r="U21" i="6"/>
  <c r="T21" i="6"/>
  <c r="S21" i="6"/>
  <c r="R21" i="6"/>
  <c r="Q21" i="6"/>
  <c r="AA14" i="6"/>
  <c r="Z14" i="6"/>
  <c r="Y14" i="6"/>
  <c r="X14" i="6"/>
  <c r="W14" i="6"/>
  <c r="V14" i="6"/>
  <c r="U14" i="6"/>
  <c r="T14" i="6"/>
  <c r="S14" i="6"/>
  <c r="R14" i="6"/>
  <c r="AB14" i="6" s="1"/>
  <c r="AD14" i="6" s="1"/>
  <c r="Q14" i="6"/>
  <c r="P14" i="6"/>
  <c r="AA9" i="6"/>
  <c r="Z9" i="6"/>
  <c r="Y9" i="6"/>
  <c r="X9" i="6"/>
  <c r="W9" i="6"/>
  <c r="V9" i="6"/>
  <c r="U9" i="6"/>
  <c r="T9" i="6"/>
  <c r="S9" i="6"/>
  <c r="R9" i="6"/>
  <c r="Q9" i="6"/>
  <c r="P9" i="6"/>
  <c r="AB9" i="6" s="1"/>
  <c r="AD9" i="6" s="1"/>
  <c r="N23" i="6"/>
  <c r="M23" i="6"/>
  <c r="L23" i="6"/>
  <c r="K23" i="6"/>
  <c r="J23" i="6"/>
  <c r="I23" i="6"/>
  <c r="H23" i="6"/>
  <c r="G23" i="6"/>
  <c r="F23" i="6"/>
  <c r="E23" i="6"/>
  <c r="D23" i="6"/>
  <c r="C23" i="6"/>
  <c r="N21" i="6"/>
  <c r="M21" i="6"/>
  <c r="L21" i="6"/>
  <c r="K21" i="6"/>
  <c r="J21" i="6"/>
  <c r="I21" i="6"/>
  <c r="H21" i="6"/>
  <c r="G21" i="6"/>
  <c r="F21" i="6"/>
  <c r="E21" i="6"/>
  <c r="D21" i="6"/>
  <c r="C21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M14" i="6"/>
  <c r="L14" i="6"/>
  <c r="K14" i="6"/>
  <c r="J14" i="6"/>
  <c r="I14" i="6"/>
  <c r="H14" i="6"/>
  <c r="G14" i="6"/>
  <c r="F14" i="6"/>
  <c r="E14" i="6"/>
  <c r="D14" i="6"/>
  <c r="C14" i="6"/>
  <c r="O30" i="6"/>
  <c r="AC30" i="6" s="1"/>
  <c r="O29" i="6"/>
  <c r="O28" i="6"/>
  <c r="AC28" i="6" s="1"/>
  <c r="O27" i="6"/>
  <c r="AC27" i="6" s="1"/>
  <c r="O26" i="6"/>
  <c r="AC26" i="6" s="1"/>
  <c r="AB30" i="6"/>
  <c r="AD30" i="6" s="1"/>
  <c r="AB28" i="6"/>
  <c r="AD28" i="6" s="1"/>
  <c r="AB27" i="6"/>
  <c r="AD27" i="6" s="1"/>
  <c r="AB26" i="6"/>
  <c r="AD26" i="6" s="1"/>
  <c r="AB23" i="6"/>
  <c r="AD23" i="6" s="1"/>
  <c r="AB22" i="6"/>
  <c r="AD22" i="6" s="1"/>
  <c r="AB20" i="6"/>
  <c r="AD20" i="6" s="1"/>
  <c r="AB19" i="6"/>
  <c r="AD19" i="6" s="1"/>
  <c r="AB18" i="6"/>
  <c r="AD18" i="6" s="1"/>
  <c r="AB17" i="6"/>
  <c r="AD17" i="6" s="1"/>
  <c r="AB16" i="6"/>
  <c r="AD16" i="6" s="1"/>
  <c r="AB13" i="6"/>
  <c r="AD13" i="6" s="1"/>
  <c r="AB12" i="6"/>
  <c r="AD12" i="6" s="1"/>
  <c r="AB11" i="6"/>
  <c r="AD11" i="6" s="1"/>
  <c r="AB10" i="6"/>
  <c r="AD10" i="6" s="1"/>
  <c r="AB8" i="6"/>
  <c r="AD8" i="6" s="1"/>
  <c r="AB7" i="6"/>
  <c r="AD7" i="6" s="1"/>
  <c r="AB6" i="6"/>
  <c r="AD6" i="6" s="1"/>
  <c r="AB5" i="6"/>
  <c r="AD5" i="6" s="1"/>
  <c r="AB4" i="6"/>
  <c r="AD4" i="6" s="1"/>
  <c r="O22" i="6"/>
  <c r="AC22" i="6" s="1"/>
  <c r="O20" i="6"/>
  <c r="AC20" i="6" s="1"/>
  <c r="O19" i="6"/>
  <c r="AC19" i="6" s="1"/>
  <c r="O18" i="6"/>
  <c r="AC18" i="6" s="1"/>
  <c r="O17" i="6"/>
  <c r="AC17" i="6" s="1"/>
  <c r="O16" i="6"/>
  <c r="AC16" i="6" s="1"/>
  <c r="O13" i="6"/>
  <c r="AC13" i="6" s="1"/>
  <c r="O12" i="6"/>
  <c r="AC12" i="6" s="1"/>
  <c r="O11" i="6"/>
  <c r="AC11" i="6" s="1"/>
  <c r="O10" i="6"/>
  <c r="AC10" i="6" s="1"/>
  <c r="O8" i="6"/>
  <c r="AC8" i="6" s="1"/>
  <c r="O7" i="6"/>
  <c r="AC7" i="6" s="1"/>
  <c r="O6" i="6"/>
  <c r="AC6" i="6" s="1"/>
  <c r="O5" i="6"/>
  <c r="AC5" i="6" s="1"/>
  <c r="O4" i="6"/>
  <c r="AC4" i="6" s="1"/>
  <c r="D9" i="6"/>
  <c r="E9" i="6"/>
  <c r="F9" i="6"/>
  <c r="G9" i="6"/>
  <c r="H9" i="6"/>
  <c r="I9" i="6"/>
  <c r="J9" i="6"/>
  <c r="K9" i="6"/>
  <c r="L9" i="6"/>
  <c r="M9" i="6"/>
  <c r="N9" i="6"/>
  <c r="C9" i="6"/>
  <c r="R32" i="6" l="1"/>
  <c r="T32" i="6"/>
  <c r="S32" i="6"/>
  <c r="AB32" i="6" s="1"/>
  <c r="AD32" i="6" s="1"/>
  <c r="U32" i="6"/>
  <c r="AB15" i="6"/>
  <c r="AD15" i="6" s="1"/>
  <c r="AE15" i="6" s="1"/>
  <c r="V32" i="6"/>
  <c r="P25" i="6"/>
  <c r="P32" i="6" s="1"/>
  <c r="O31" i="6"/>
  <c r="AC31" i="6" s="1"/>
  <c r="C32" i="6"/>
  <c r="O32" i="6" s="1"/>
  <c r="AC32" i="6" s="1"/>
  <c r="AB31" i="6"/>
  <c r="AD31" i="6" s="1"/>
  <c r="AC25" i="6"/>
  <c r="AC24" i="6"/>
  <c r="AE24" i="6" s="1"/>
  <c r="AB21" i="6"/>
  <c r="AD21" i="6" s="1"/>
  <c r="O23" i="6"/>
  <c r="AC23" i="6" s="1"/>
  <c r="AE23" i="6" s="1"/>
  <c r="O21" i="6"/>
  <c r="AC21" i="6" s="1"/>
  <c r="O15" i="6"/>
  <c r="AC15" i="6" s="1"/>
  <c r="O14" i="6"/>
  <c r="AC14" i="6" s="1"/>
  <c r="AE30" i="6"/>
  <c r="AE28" i="6"/>
  <c r="AE18" i="6"/>
  <c r="AE21" i="6"/>
  <c r="AE4" i="6"/>
  <c r="AE14" i="6"/>
  <c r="AE22" i="6"/>
  <c r="AE17" i="6"/>
  <c r="AE26" i="6"/>
  <c r="AE6" i="6"/>
  <c r="AE11" i="6"/>
  <c r="AE10" i="6"/>
  <c r="AE19" i="6"/>
  <c r="O9" i="6"/>
  <c r="AC9" i="6" s="1"/>
  <c r="AE9" i="6" s="1"/>
  <c r="AE20" i="6"/>
  <c r="AE7" i="6"/>
  <c r="AE5" i="6"/>
  <c r="AE8" i="6"/>
  <c r="AE16" i="6"/>
  <c r="AE12" i="6"/>
  <c r="AE13" i="6"/>
  <c r="AE27" i="6"/>
  <c r="AQ20" i="1"/>
  <c r="AQ19" i="1"/>
  <c r="AQ18" i="1"/>
  <c r="AQ17" i="1"/>
  <c r="AQ16" i="1"/>
  <c r="AQ13" i="1"/>
  <c r="AQ11" i="1"/>
  <c r="AQ10" i="1"/>
  <c r="AQ7" i="1"/>
  <c r="AE32" i="6" l="1"/>
  <c r="AE31" i="6"/>
  <c r="AB25" i="6"/>
  <c r="AD25" i="6" s="1"/>
  <c r="AE25" i="6" s="1"/>
  <c r="AQ5" i="1"/>
  <c r="AQ4" i="1"/>
  <c r="AM8" i="1"/>
  <c r="E2" i="1"/>
  <c r="G15" i="4"/>
  <c r="F15" i="4"/>
  <c r="D15" i="4"/>
  <c r="J15" i="4" s="1"/>
  <c r="C15" i="4"/>
  <c r="J14" i="4"/>
  <c r="I14" i="4"/>
  <c r="H14" i="4"/>
  <c r="J13" i="4"/>
  <c r="I13" i="4"/>
  <c r="H13" i="4"/>
  <c r="J12" i="4"/>
  <c r="I12" i="4"/>
  <c r="H12" i="4"/>
  <c r="J11" i="4"/>
  <c r="I11" i="4"/>
  <c r="H11" i="4"/>
  <c r="H10" i="4"/>
  <c r="J10" i="4"/>
  <c r="J9" i="4"/>
  <c r="H9" i="4"/>
  <c r="J8" i="4"/>
  <c r="I8" i="4"/>
  <c r="H8" i="4"/>
  <c r="H15" i="4" s="1"/>
  <c r="E15" i="4"/>
  <c r="G7" i="4"/>
  <c r="G16" i="4" s="1"/>
  <c r="F7" i="4"/>
  <c r="F16" i="4" s="1"/>
  <c r="F17" i="4" s="1"/>
  <c r="E7" i="4"/>
  <c r="D7" i="4"/>
  <c r="D16" i="4" s="1"/>
  <c r="D17" i="4" s="1"/>
  <c r="C7" i="4"/>
  <c r="J6" i="4"/>
  <c r="I6" i="4"/>
  <c r="H6" i="4"/>
  <c r="J5" i="4"/>
  <c r="I5" i="4"/>
  <c r="H5" i="4"/>
  <c r="J4" i="4"/>
  <c r="I4" i="4"/>
  <c r="H4" i="4"/>
  <c r="J3" i="4"/>
  <c r="I3" i="4"/>
  <c r="H3" i="4"/>
  <c r="J2" i="4"/>
  <c r="I2" i="4"/>
  <c r="H2" i="4"/>
  <c r="H7" i="4" s="1"/>
  <c r="S19" i="1"/>
  <c r="AM15" i="1"/>
  <c r="AK15" i="1"/>
  <c r="AI15" i="1"/>
  <c r="AK14" i="1"/>
  <c r="AI14" i="1"/>
  <c r="AH14" i="1"/>
  <c r="AG14" i="1"/>
  <c r="AF14" i="1"/>
  <c r="AE14" i="1"/>
  <c r="AC14" i="1"/>
  <c r="AB14" i="1"/>
  <c r="AA14" i="1"/>
  <c r="Z14" i="1"/>
  <c r="Y14" i="1"/>
  <c r="X14" i="1"/>
  <c r="W14" i="1"/>
  <c r="V14" i="1"/>
  <c r="U14" i="1"/>
  <c r="T14" i="1"/>
  <c r="S14" i="1"/>
  <c r="R13" i="1"/>
  <c r="AO12" i="1"/>
  <c r="AM12" i="1"/>
  <c r="S9" i="1"/>
  <c r="AQ9" i="1" s="1"/>
  <c r="R9" i="1"/>
  <c r="AO8" i="1"/>
  <c r="AO6" i="1"/>
  <c r="AM6" i="1"/>
  <c r="Y6" i="1"/>
  <c r="W6" i="1"/>
  <c r="U6" i="1"/>
  <c r="AQ6" i="1" s="1"/>
  <c r="AO2" i="1"/>
  <c r="AO3" i="1" s="1"/>
  <c r="AM2" i="1"/>
  <c r="AM3" i="1" s="1"/>
  <c r="AK2" i="1"/>
  <c r="AK3" i="1" s="1"/>
  <c r="AI2" i="1"/>
  <c r="AI3" i="1" s="1"/>
  <c r="AH2" i="1"/>
  <c r="AG2" i="1"/>
  <c r="AG3" i="1" s="1"/>
  <c r="AE2" i="1"/>
  <c r="AE3" i="1" s="1"/>
  <c r="AC2" i="1"/>
  <c r="AC3" i="1" s="1"/>
  <c r="AA2" i="1"/>
  <c r="AA3" i="1" s="1"/>
  <c r="Y2" i="1"/>
  <c r="Y3" i="1" s="1"/>
  <c r="W2" i="1"/>
  <c r="W3" i="1" s="1"/>
  <c r="U2" i="1"/>
  <c r="U3" i="1" s="1"/>
  <c r="S2" i="1"/>
  <c r="S3" i="1" s="1"/>
  <c r="R2" i="1"/>
  <c r="T11" i="1"/>
  <c r="V11" i="1"/>
  <c r="AQ14" i="1" l="1"/>
  <c r="AQ2" i="1"/>
  <c r="AQ12" i="1"/>
  <c r="AQ15" i="1"/>
  <c r="AQ8" i="1"/>
  <c r="P3" i="1"/>
  <c r="AN2" i="1" s="1"/>
  <c r="N3" i="1"/>
  <c r="AJ2" i="1" s="1"/>
  <c r="L3" i="1"/>
  <c r="J3" i="1"/>
  <c r="AB2" i="1" s="1"/>
  <c r="H3" i="1"/>
  <c r="F3" i="1"/>
  <c r="Q3" i="1"/>
  <c r="AP2" i="1" s="1"/>
  <c r="O3" i="1"/>
  <c r="AL2" i="1" s="1"/>
  <c r="M3" i="1"/>
  <c r="K3" i="1"/>
  <c r="I3" i="1"/>
  <c r="Z2" i="1" s="1"/>
  <c r="G3" i="1"/>
  <c r="V2" i="1" s="1"/>
  <c r="C16" i="4"/>
  <c r="C17" i="4" s="1"/>
  <c r="E16" i="4"/>
  <c r="H16" i="4" s="1"/>
  <c r="I15" i="4"/>
  <c r="E17" i="4"/>
  <c r="H17" i="4" s="1"/>
  <c r="G17" i="4"/>
  <c r="I16" i="4"/>
  <c r="J16" i="4"/>
  <c r="J7" i="4"/>
  <c r="I9" i="4"/>
  <c r="I10" i="4"/>
  <c r="I7" i="4"/>
  <c r="AD2" i="1"/>
  <c r="X2" i="1"/>
  <c r="AF2" i="1"/>
  <c r="I17" i="4" l="1"/>
  <c r="J17" i="4"/>
  <c r="R3" i="1"/>
  <c r="T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Masse Salariale BO copermo</t>
        </r>
      </text>
    </comment>
    <comment ref="AG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Masse Salariale BO copermo</t>
        </r>
      </text>
    </comment>
    <comment ref="AQ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Moyenne Annuelle</t>
        </r>
      </text>
    </comment>
    <comment ref="B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ETPT CDD / ETP Absent</t>
        </r>
      </text>
    </comment>
    <comment ref="AQ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Moyenne Annuelle</t>
        </r>
      </text>
    </comment>
    <comment ref="A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TDB RH LB AMOJuin-TDB RH Juillet 18
</t>
        </r>
      </text>
    </comment>
    <comment ref="AG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Auteur:
</t>
        </r>
      </text>
    </comment>
    <comment ref="B1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TO = (ind 2169*100)/(Nb lits*Nb jours)</t>
        </r>
      </text>
    </comment>
    <comment ref="AQ1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Moyenne Annuelle</t>
        </r>
      </text>
    </comment>
    <comment ref="AQ1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Moyenne Annuelle</t>
        </r>
      </text>
    </comment>
    <comment ref="AQ1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Données 12/18</t>
        </r>
      </text>
    </comment>
    <comment ref="S2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Ensemble des comptes de créances, sans le 41121 (AM) et sans le 46721(divers, dont AM et FMESPP souvent)</t>
        </r>
      </text>
    </comment>
    <comment ref="W2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Ensemble des comptes de créances, sans le 41121 (AM) et sans le 46721(divers, dont AM et FMESPP souvent)</t>
        </r>
      </text>
    </comment>
    <comment ref="AQ2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Données 12/18</t>
        </r>
      </text>
    </comment>
  </commentList>
</comments>
</file>

<file path=xl/sharedStrings.xml><?xml version="1.0" encoding="utf-8"?>
<sst xmlns="http://schemas.openxmlformats.org/spreadsheetml/2006/main" count="438" uniqueCount="163">
  <si>
    <t>Indicateurs</t>
  </si>
  <si>
    <t>Fréquence</t>
  </si>
  <si>
    <t>Complété par</t>
  </si>
  <si>
    <t>réalisé 2016</t>
  </si>
  <si>
    <t>réalisé janv-17</t>
  </si>
  <si>
    <t>réalisé févr-17</t>
  </si>
  <si>
    <t>réalisé mars-17</t>
  </si>
  <si>
    <t>réalisé avr-17</t>
  </si>
  <si>
    <t>réalisé mai-17</t>
  </si>
  <si>
    <t>réalisé juin-17</t>
  </si>
  <si>
    <t>réalisé juil-17</t>
  </si>
  <si>
    <t>réalisé août-17</t>
  </si>
  <si>
    <t>réalisé sept-17</t>
  </si>
  <si>
    <t>réalisé oct-17</t>
  </si>
  <si>
    <t>réalisé nov-17</t>
  </si>
  <si>
    <t>réalisé déc-17</t>
  </si>
  <si>
    <t>réalisé 2017</t>
  </si>
  <si>
    <t>réalisé janv-18</t>
  </si>
  <si>
    <t>objectif janv-18</t>
  </si>
  <si>
    <t>réalisé févr-18</t>
  </si>
  <si>
    <t>objectif févr-18</t>
  </si>
  <si>
    <t>réalisé mars-18</t>
  </si>
  <si>
    <t>objectif mars-18</t>
  </si>
  <si>
    <t>réalisé avr-18</t>
  </si>
  <si>
    <t>objectif avr-18</t>
  </si>
  <si>
    <t>réalisé mai-18</t>
  </si>
  <si>
    <t>objectif mai-18</t>
  </si>
  <si>
    <t>réalisé juin-18</t>
  </si>
  <si>
    <t>objectif juin-18</t>
  </si>
  <si>
    <t>réalisé juil-18</t>
  </si>
  <si>
    <t>objectif juil-18</t>
  </si>
  <si>
    <t>réalisé août-18</t>
  </si>
  <si>
    <t>objectif août-18</t>
  </si>
  <si>
    <t>réalisé sept-18</t>
  </si>
  <si>
    <t>objectif sept-18</t>
  </si>
  <si>
    <t>réalisé oct-18</t>
  </si>
  <si>
    <t>objectif oct-18</t>
  </si>
  <si>
    <t>réalisé nov-18</t>
  </si>
  <si>
    <t>objectif nov-18</t>
  </si>
  <si>
    <t>réalisé déc-18</t>
  </si>
  <si>
    <t>objectif déc-18</t>
  </si>
  <si>
    <t>prev 2020</t>
  </si>
  <si>
    <t>prev 2021</t>
  </si>
  <si>
    <t>Ressources Humaines</t>
  </si>
  <si>
    <t>Masse salariale retraitée - CRP</t>
  </si>
  <si>
    <t>Mensuelle</t>
  </si>
  <si>
    <t>ETS</t>
  </si>
  <si>
    <t>Coef saisonnalisation</t>
  </si>
  <si>
    <t>PNM</t>
  </si>
  <si>
    <t>PM</t>
  </si>
  <si>
    <t>Masse salariale - CRA PM PNM</t>
  </si>
  <si>
    <t>Taux d'absentéisme</t>
  </si>
  <si>
    <t>-</t>
  </si>
  <si>
    <t>Gains Mensuels liès à l'application du jour de carence</t>
  </si>
  <si>
    <t xml:space="preserve"> -</t>
  </si>
  <si>
    <t>Taux de remplacement</t>
  </si>
  <si>
    <t>Heures supplémentaires</t>
  </si>
  <si>
    <t>TTA</t>
  </si>
  <si>
    <t>Intérim médical</t>
  </si>
  <si>
    <t>Activités</t>
  </si>
  <si>
    <t>T2A</t>
  </si>
  <si>
    <t>ARS</t>
  </si>
  <si>
    <t>Dont hospitalisation</t>
  </si>
  <si>
    <t>Dont activité externe</t>
  </si>
  <si>
    <t>Nombre séjours / séances</t>
  </si>
  <si>
    <t>Taux d'occupation MCO</t>
  </si>
  <si>
    <t>Trimestrielle</t>
  </si>
  <si>
    <t xml:space="preserve"> - </t>
  </si>
  <si>
    <t>DMS PMSI MCO</t>
  </si>
  <si>
    <t>Financiers</t>
  </si>
  <si>
    <t>Compte 515 fin de période</t>
  </si>
  <si>
    <t>5 229 758 €</t>
  </si>
  <si>
    <t>Restes à recouvrer</t>
  </si>
  <si>
    <t>bimestrielle</t>
  </si>
  <si>
    <t>Résultat CRP</t>
  </si>
  <si>
    <t>annuelle</t>
  </si>
  <si>
    <t xml:space="preserve">Résultat consolidé </t>
  </si>
  <si>
    <t>Taux de marge brute hors (consolidé)</t>
  </si>
  <si>
    <t>CAF nette</t>
  </si>
  <si>
    <t>COMMENTAIRES:</t>
  </si>
  <si>
    <t>TOTAL PERSONNEL MEDICAL</t>
  </si>
  <si>
    <t>SOUS TOTAL PNM PERMANENT</t>
  </si>
  <si>
    <t>TOTAL PERSONNEL NON MEDICAL</t>
  </si>
  <si>
    <t>TOTAL</t>
  </si>
  <si>
    <t>Réalisé cumulé fin mois</t>
  </si>
  <si>
    <t>RIA1 déposé</t>
  </si>
  <si>
    <t>Produits</t>
  </si>
  <si>
    <t>T1</t>
  </si>
  <si>
    <t>Dont recettes T2A</t>
  </si>
  <si>
    <t>Dont aides trésorerie</t>
  </si>
  <si>
    <t>T2</t>
  </si>
  <si>
    <t>T3</t>
  </si>
  <si>
    <t>TOTAL PRODUITS</t>
  </si>
  <si>
    <t>Charges</t>
  </si>
  <si>
    <t>Dont PNM</t>
  </si>
  <si>
    <t>Dont PM</t>
  </si>
  <si>
    <t>Dont Intérim médical</t>
  </si>
  <si>
    <t>T4</t>
  </si>
  <si>
    <t>TOTAL CHARGES</t>
  </si>
  <si>
    <t xml:space="preserve">Résultat comptable H </t>
  </si>
  <si>
    <t>Résultat structurel H</t>
  </si>
  <si>
    <t>Budget H 2019</t>
  </si>
  <si>
    <t>CF 2018</t>
  </si>
  <si>
    <t>EPRD 2019</t>
  </si>
  <si>
    <t>Projection 2019 (12 mois) à septembre</t>
  </si>
  <si>
    <t>Ecart réalisé cumulé / EPRD 2019</t>
  </si>
  <si>
    <t>Ecart projection 2019 /
CF 2018</t>
  </si>
  <si>
    <t>Ecart projection 2019 /
EPRD 2019</t>
  </si>
  <si>
    <t>prev 2019 (EPRD 2019)</t>
  </si>
  <si>
    <t>réalisé 2018</t>
  </si>
  <si>
    <t>réalisé janv-19</t>
  </si>
  <si>
    <t>objectif janv-19</t>
  </si>
  <si>
    <t>réalisé févr-19</t>
  </si>
  <si>
    <t>réalisé déc-19</t>
  </si>
  <si>
    <t>objectif nov-19</t>
  </si>
  <si>
    <t>réalisé nov-19</t>
  </si>
  <si>
    <t>objectif oct-19</t>
  </si>
  <si>
    <t>réalisé oct-19</t>
  </si>
  <si>
    <t>objectif sept-19</t>
  </si>
  <si>
    <t>réalisé sept-19</t>
  </si>
  <si>
    <t>objectif août-19</t>
  </si>
  <si>
    <t>réalisé août-19</t>
  </si>
  <si>
    <t>objectif juil-19</t>
  </si>
  <si>
    <t>réalisé juil-19</t>
  </si>
  <si>
    <t>objectif juin-19</t>
  </si>
  <si>
    <t>réalisé juin-19</t>
  </si>
  <si>
    <t>objectif mai-19</t>
  </si>
  <si>
    <t>réalisé mai-19</t>
  </si>
  <si>
    <t>objectif avr-19</t>
  </si>
  <si>
    <t>réalisé avr-19</t>
  </si>
  <si>
    <t>objectif mars-19</t>
  </si>
  <si>
    <t>réalisé mars-19</t>
  </si>
  <si>
    <t>objectif févr-19</t>
  </si>
  <si>
    <t>ETPR mensuel</t>
  </si>
  <si>
    <t>E-NM-1 Titulaires et Stagiaires</t>
  </si>
  <si>
    <t>1. Personnel administratif</t>
  </si>
  <si>
    <t>2. Personnel soignant et éducatif</t>
  </si>
  <si>
    <t>3. Personnel technique</t>
  </si>
  <si>
    <t>4. Personnel médico-technique</t>
  </si>
  <si>
    <t>Total E-NM-1 Titulaires et Stagiaires</t>
  </si>
  <si>
    <t xml:space="preserve">E-NM-2 Contractuel CDI Emploi Permanent                  </t>
  </si>
  <si>
    <t xml:space="preserve">Total E-NM-2 Contractuel CDI Emploi Permanent                  </t>
  </si>
  <si>
    <t xml:space="preserve">E-NM-3 Contractuel CDD                                   </t>
  </si>
  <si>
    <t xml:space="preserve">Total E-NM-3 Contractuel CDD                                   </t>
  </si>
  <si>
    <t>E-NM-4 Contrats à dispositions particulières</t>
  </si>
  <si>
    <t>Total E-NM-4 Contrats à dispositions particulières</t>
  </si>
  <si>
    <t>5. Personnel éducatif et sociaux</t>
  </si>
  <si>
    <t>A. Autres</t>
  </si>
  <si>
    <t>PM permanent</t>
  </si>
  <si>
    <t>PM non permanent</t>
  </si>
  <si>
    <t>SOUS TOTAL PERMANENT</t>
  </si>
  <si>
    <t>ANNEXE 2 EFFECTIFS</t>
  </si>
  <si>
    <t>Total 2024</t>
  </si>
  <si>
    <t>Moyenne année 2024</t>
  </si>
  <si>
    <t>Moyenne année 2025</t>
  </si>
  <si>
    <t>Ecart ETPR Moyenne Période 2025/2024</t>
  </si>
  <si>
    <t>Médecin</t>
  </si>
  <si>
    <t>Total 2025</t>
  </si>
  <si>
    <t>Assistant des Hopitaux</t>
  </si>
  <si>
    <t>Interne des Hopitaux</t>
  </si>
  <si>
    <t>Attaché</t>
  </si>
  <si>
    <t>Praticien Hospitalier</t>
  </si>
  <si>
    <t>Tous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</si>
</sst>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\ &quot;€&quot;"/>
    <numFmt numFmtId="165" formatCode="#,##0\ _€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-0.249977111117893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thin">
        <color theme="8" tint="0.39994506668294322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4506668294322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7558519241921"/>
      </top>
      <bottom style="thin">
        <color theme="8" tint="0.39994506668294322"/>
      </bottom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 style="thin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8" tint="0.39991454817346722"/>
      </left>
      <right style="thin">
        <color theme="8" tint="0.39991454817346722"/>
      </right>
      <top style="thin">
        <color theme="8" tint="0.39994506668294322"/>
      </top>
      <bottom style="hair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hair">
        <color theme="8" tint="0.39991454817346722"/>
      </top>
      <bottom style="hair">
        <color theme="8" tint="0.39991454817346722"/>
      </bottom>
      <diagonal/>
    </border>
    <border>
      <left style="thin">
        <color theme="8" tint="0.39991454817346722"/>
      </left>
      <right style="thin">
        <color theme="8" tint="0.39991454817346722"/>
      </right>
      <top style="hair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</cellStyleXfs>
  <cellXfs count="141">
    <xf numFmtId="0" fontId="0" fillId="0" borderId="0" xfId="0"/>
    <xf numFmtId="0" fontId="4" fillId="2" borderId="1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2" fillId="3" borderId="2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/>
    </xf>
    <xf numFmtId="164" fontId="9" fillId="4" borderId="6" xfId="0" applyNumberFormat="1" applyFont="1" applyFill="1" applyBorder="1" applyAlignment="1">
      <alignment horizontal="right"/>
    </xf>
    <xf numFmtId="164" fontId="8" fillId="4" borderId="6" xfId="0" applyNumberFormat="1" applyFont="1" applyFill="1" applyBorder="1" applyAlignment="1">
      <alignment horizontal="right" vertical="center"/>
    </xf>
    <xf numFmtId="165" fontId="8" fillId="4" borderId="6" xfId="0" applyNumberFormat="1" applyFont="1" applyFill="1" applyBorder="1" applyAlignment="1">
      <alignment horizontal="right" vertical="center"/>
    </xf>
    <xf numFmtId="165" fontId="8" fillId="4" borderId="7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/>
    </xf>
    <xf numFmtId="4" fontId="8" fillId="4" borderId="6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left" vertical="center" indent="1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right"/>
    </xf>
    <xf numFmtId="165" fontId="10" fillId="0" borderId="9" xfId="0" applyNumberFormat="1" applyFont="1" applyBorder="1" applyAlignment="1">
      <alignment horizontal="right"/>
    </xf>
    <xf numFmtId="165" fontId="11" fillId="0" borderId="10" xfId="0" applyNumberFormat="1" applyFont="1" applyBorder="1" applyAlignment="1">
      <alignment horizontal="right"/>
    </xf>
    <xf numFmtId="0" fontId="10" fillId="4" borderId="5" xfId="0" applyFont="1" applyFill="1" applyBorder="1" applyAlignment="1">
      <alignment horizontal="left" vertical="center" indent="1"/>
    </xf>
    <xf numFmtId="164" fontId="10" fillId="4" borderId="6" xfId="0" applyNumberFormat="1" applyFont="1" applyFill="1" applyBorder="1" applyAlignment="1">
      <alignment horizontal="right"/>
    </xf>
    <xf numFmtId="165" fontId="10" fillId="4" borderId="6" xfId="0" applyNumberFormat="1" applyFont="1" applyFill="1" applyBorder="1" applyAlignment="1">
      <alignment horizontal="right"/>
    </xf>
    <xf numFmtId="165" fontId="11" fillId="4" borderId="7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165" fontId="9" fillId="0" borderId="9" xfId="0" applyNumberFormat="1" applyFont="1" applyBorder="1" applyAlignment="1">
      <alignment horizontal="right"/>
    </xf>
    <xf numFmtId="165" fontId="12" fillId="0" borderId="10" xfId="0" applyNumberFormat="1" applyFont="1" applyBorder="1" applyAlignment="1">
      <alignment horizontal="right"/>
    </xf>
    <xf numFmtId="10" fontId="8" fillId="4" borderId="6" xfId="0" applyNumberFormat="1" applyFont="1" applyFill="1" applyBorder="1" applyAlignment="1">
      <alignment horizontal="right" vertical="center"/>
    </xf>
    <xf numFmtId="165" fontId="9" fillId="4" borderId="6" xfId="0" applyNumberFormat="1" applyFont="1" applyFill="1" applyBorder="1" applyAlignment="1">
      <alignment horizontal="right"/>
    </xf>
    <xf numFmtId="10" fontId="8" fillId="4" borderId="6" xfId="0" applyNumberFormat="1" applyFont="1" applyFill="1" applyBorder="1" applyAlignment="1">
      <alignment horizontal="right"/>
    </xf>
    <xf numFmtId="165" fontId="12" fillId="4" borderId="7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10" fontId="9" fillId="4" borderId="6" xfId="0" applyNumberFormat="1" applyFont="1" applyFill="1" applyBorder="1" applyAlignment="1">
      <alignment horizontal="right"/>
    </xf>
    <xf numFmtId="165" fontId="8" fillId="0" borderId="9" xfId="0" applyNumberFormat="1" applyFont="1" applyBorder="1" applyAlignment="1">
      <alignment horizontal="right" vertical="center"/>
    </xf>
    <xf numFmtId="10" fontId="9" fillId="0" borderId="9" xfId="1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5" borderId="9" xfId="0" applyNumberFormat="1" applyFont="1" applyFill="1" applyBorder="1" applyAlignment="1">
      <alignment horizontal="right"/>
    </xf>
    <xf numFmtId="164" fontId="13" fillId="4" borderId="6" xfId="0" applyNumberFormat="1" applyFont="1" applyFill="1" applyBorder="1" applyAlignment="1">
      <alignment horizontal="right" vertical="center"/>
    </xf>
    <xf numFmtId="164" fontId="14" fillId="4" borderId="6" xfId="0" applyNumberFormat="1" applyFont="1" applyFill="1" applyBorder="1" applyAlignment="1">
      <alignment horizontal="right"/>
    </xf>
    <xf numFmtId="164" fontId="8" fillId="0" borderId="9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5" fontId="15" fillId="0" borderId="10" xfId="0" applyNumberFormat="1" applyFont="1" applyBorder="1" applyAlignment="1">
      <alignment horizontal="right"/>
    </xf>
    <xf numFmtId="0" fontId="16" fillId="0" borderId="0" xfId="0" applyFont="1"/>
    <xf numFmtId="165" fontId="18" fillId="0" borderId="9" xfId="0" applyNumberFormat="1" applyFont="1" applyBorder="1" applyAlignment="1">
      <alignment horizontal="left"/>
    </xf>
    <xf numFmtId="0" fontId="7" fillId="6" borderId="6" xfId="0" applyFont="1" applyFill="1" applyBorder="1" applyAlignment="1">
      <alignment horizontal="center" vertical="center"/>
    </xf>
    <xf numFmtId="164" fontId="8" fillId="6" borderId="6" xfId="0" applyNumberFormat="1" applyFont="1" applyFill="1" applyBorder="1" applyAlignment="1">
      <alignment horizontal="right"/>
    </xf>
    <xf numFmtId="164" fontId="9" fillId="6" borderId="6" xfId="0" applyNumberFormat="1" applyFont="1" applyFill="1" applyBorder="1" applyAlignment="1">
      <alignment horizontal="right"/>
    </xf>
    <xf numFmtId="165" fontId="9" fillId="6" borderId="6" xfId="0" applyNumberFormat="1" applyFont="1" applyFill="1" applyBorder="1" applyAlignment="1">
      <alignment horizontal="right"/>
    </xf>
    <xf numFmtId="165" fontId="12" fillId="6" borderId="7" xfId="0" applyNumberFormat="1" applyFont="1" applyFill="1" applyBorder="1" applyAlignment="1">
      <alignment horizontal="right"/>
    </xf>
    <xf numFmtId="0" fontId="0" fillId="5" borderId="0" xfId="0" applyFill="1"/>
    <xf numFmtId="165" fontId="18" fillId="5" borderId="0" xfId="0" applyNumberFormat="1" applyFont="1" applyFill="1" applyBorder="1" applyAlignment="1">
      <alignment horizontal="left"/>
    </xf>
    <xf numFmtId="165" fontId="18" fillId="0" borderId="0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right" vertical="center"/>
    </xf>
    <xf numFmtId="10" fontId="8" fillId="0" borderId="9" xfId="0" applyNumberFormat="1" applyFont="1" applyBorder="1" applyAlignment="1">
      <alignment horizontal="right"/>
    </xf>
    <xf numFmtId="10" fontId="8" fillId="0" borderId="9" xfId="1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right" vertical="center"/>
    </xf>
    <xf numFmtId="165" fontId="9" fillId="4" borderId="13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0" fillId="0" borderId="0" xfId="0" applyFill="1"/>
    <xf numFmtId="0" fontId="0" fillId="5" borderId="14" xfId="0" applyFill="1" applyBorder="1" applyAlignment="1">
      <alignment horizontal="left"/>
    </xf>
    <xf numFmtId="0" fontId="19" fillId="5" borderId="15" xfId="0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0" borderId="0" xfId="0" applyFill="1" applyBorder="1"/>
    <xf numFmtId="0" fontId="6" fillId="5" borderId="17" xfId="0" applyFont="1" applyFill="1" applyBorder="1" applyAlignment="1">
      <alignment horizontal="left"/>
    </xf>
    <xf numFmtId="0" fontId="18" fillId="5" borderId="0" xfId="0" applyFont="1" applyFill="1" applyBorder="1"/>
    <xf numFmtId="0" fontId="20" fillId="5" borderId="0" xfId="0" applyFont="1" applyFill="1" applyBorder="1"/>
    <xf numFmtId="0" fontId="0" fillId="5" borderId="0" xfId="0" applyFill="1" applyBorder="1"/>
    <xf numFmtId="0" fontId="0" fillId="5" borderId="18" xfId="0" applyFill="1" applyBorder="1"/>
    <xf numFmtId="0" fontId="20" fillId="5" borderId="17" xfId="0" applyFont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9" fillId="5" borderId="0" xfId="0" applyFont="1" applyFill="1" applyBorder="1"/>
    <xf numFmtId="0" fontId="3" fillId="5" borderId="17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19" fillId="5" borderId="20" xfId="0" applyFont="1" applyFill="1" applyBorder="1"/>
    <xf numFmtId="0" fontId="0" fillId="5" borderId="20" xfId="0" applyFill="1" applyBorder="1"/>
    <xf numFmtId="0" fontId="0" fillId="5" borderId="21" xfId="0" applyFill="1" applyBorder="1"/>
    <xf numFmtId="17" fontId="27" fillId="3" borderId="27" xfId="0" applyNumberFormat="1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9" fontId="12" fillId="0" borderId="28" xfId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3" fontId="0" fillId="0" borderId="0" xfId="0" applyNumberFormat="1"/>
    <xf numFmtId="3" fontId="29" fillId="9" borderId="28" xfId="0" applyNumberFormat="1" applyFont="1" applyFill="1" applyBorder="1" applyAlignment="1">
      <alignment horizontal="center" vertical="center"/>
    </xf>
    <xf numFmtId="9" fontId="29" fillId="9" borderId="28" xfId="1" applyFont="1" applyFill="1" applyBorder="1" applyAlignment="1">
      <alignment horizontal="center" vertical="center"/>
    </xf>
    <xf numFmtId="9" fontId="29" fillId="5" borderId="28" xfId="1" applyFont="1" applyFill="1" applyBorder="1" applyAlignment="1">
      <alignment horizontal="center" vertical="center"/>
    </xf>
    <xf numFmtId="3" fontId="29" fillId="0" borderId="28" xfId="0" applyNumberFormat="1" applyFont="1" applyBorder="1" applyAlignment="1">
      <alignment horizontal="center" vertical="center"/>
    </xf>
    <xf numFmtId="9" fontId="29" fillId="0" borderId="28" xfId="1" applyFont="1" applyBorder="1" applyAlignment="1">
      <alignment horizontal="center" vertical="center"/>
    </xf>
    <xf numFmtId="3" fontId="29" fillId="10" borderId="29" xfId="0" applyNumberFormat="1" applyFont="1" applyFill="1" applyBorder="1" applyAlignment="1">
      <alignment horizontal="center" vertical="center"/>
    </xf>
    <xf numFmtId="9" fontId="29" fillId="10" borderId="29" xfId="1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/>
    </xf>
    <xf numFmtId="164" fontId="10" fillId="6" borderId="6" xfId="0" applyNumberFormat="1" applyFont="1" applyFill="1" applyBorder="1" applyAlignment="1">
      <alignment horizontal="right"/>
    </xf>
    <xf numFmtId="3" fontId="8" fillId="4" borderId="6" xfId="0" applyNumberFormat="1" applyFont="1" applyFill="1" applyBorder="1" applyAlignment="1">
      <alignment horizontal="right"/>
    </xf>
    <xf numFmtId="43" fontId="0" fillId="0" borderId="0" xfId="2" applyFont="1"/>
    <xf numFmtId="43" fontId="17" fillId="7" borderId="26" xfId="2" applyFont="1" applyFill="1" applyBorder="1"/>
    <xf numFmtId="43" fontId="0" fillId="0" borderId="0" xfId="0" applyNumberFormat="1"/>
    <xf numFmtId="43" fontId="3" fillId="11" borderId="0" xfId="2" applyFont="1" applyFill="1"/>
    <xf numFmtId="43" fontId="3" fillId="11" borderId="31" xfId="2" applyFont="1" applyFill="1" applyBorder="1"/>
    <xf numFmtId="43" fontId="0" fillId="11" borderId="0" xfId="2" applyFont="1" applyFill="1"/>
    <xf numFmtId="0" fontId="0" fillId="12" borderId="0" xfId="0" applyFill="1"/>
    <xf numFmtId="43" fontId="0" fillId="12" borderId="0" xfId="0" applyNumberFormat="1" applyFill="1"/>
    <xf numFmtId="43" fontId="3" fillId="13" borderId="30" xfId="2" applyFont="1" applyFill="1" applyBorder="1"/>
    <xf numFmtId="0" fontId="17" fillId="14" borderId="0" xfId="0" applyNumberFormat="1" applyFont="1" applyFill="1" applyBorder="1" applyAlignment="1" applyProtection="1">
      <alignment horizontal="left" vertical="center"/>
    </xf>
    <xf numFmtId="43" fontId="31" fillId="14" borderId="0" xfId="0" applyNumberFormat="1" applyFont="1" applyFill="1"/>
    <xf numFmtId="0" fontId="31" fillId="0" borderId="0" xfId="0" applyFont="1" applyFill="1"/>
    <xf numFmtId="43" fontId="17" fillId="0" borderId="26" xfId="2" applyFont="1" applyFill="1" applyBorder="1"/>
    <xf numFmtId="43" fontId="3" fillId="15" borderId="0" xfId="0" applyNumberFormat="1" applyFont="1" applyFill="1"/>
    <xf numFmtId="0" fontId="3" fillId="0" borderId="0" xfId="0" applyFont="1" applyFill="1"/>
    <xf numFmtId="17" fontId="32" fillId="8" borderId="23" xfId="0" applyNumberFormat="1" applyFont="1" applyFill="1" applyBorder="1" applyAlignment="1">
      <alignment horizontal="center"/>
    </xf>
    <xf numFmtId="43" fontId="0" fillId="0" borderId="0" xfId="2" applyFont="1" applyFill="1"/>
    <xf numFmtId="0" fontId="26" fillId="7" borderId="26" xfId="0" applyFont="1" applyFill="1" applyBorder="1" applyAlignment="1">
      <alignment horizontal="center" vertical="center"/>
    </xf>
    <xf numFmtId="43" fontId="17" fillId="7" borderId="22" xfId="2" applyFont="1" applyFill="1" applyBorder="1" applyAlignment="1">
      <alignment horizontal="center" vertical="center" wrapText="1"/>
    </xf>
    <xf numFmtId="43" fontId="17" fillId="7" borderId="23" xfId="2" applyFont="1" applyFill="1" applyBorder="1" applyAlignment="1">
      <alignment horizontal="center" vertical="center" wrapText="1"/>
    </xf>
    <xf numFmtId="0" fontId="25" fillId="15" borderId="24" xfId="0" applyNumberFormat="1" applyFont="1" applyFill="1" applyBorder="1" applyAlignment="1" applyProtection="1">
      <alignment horizontal="left" vertical="center"/>
    </xf>
    <xf numFmtId="0" fontId="25" fillId="15" borderId="25" xfId="0" applyNumberFormat="1" applyFont="1" applyFill="1" applyBorder="1" applyAlignment="1" applyProtection="1">
      <alignment horizontal="left" vertical="center"/>
    </xf>
    <xf numFmtId="0" fontId="23" fillId="7" borderId="22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5" fillId="10" borderId="29" xfId="0" applyFont="1" applyFill="1" applyBorder="1" applyAlignment="1">
      <alignment horizontal="center" vertical="center"/>
    </xf>
    <xf numFmtId="17" fontId="27" fillId="3" borderId="27" xfId="0" applyNumberFormat="1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</cellXfs>
  <cellStyles count="4">
    <cellStyle name="Milliers" xfId="2" builtinId="3"/>
    <cellStyle name="Normal" xfId="0" builtinId="0"/>
    <cellStyle name="Normal 3" xfId="3" xr:uid="{00000000-0005-0000-0000-000002000000}"/>
    <cellStyle name="Pourcentage" xfId="1" builtinId="5"/>
  </cellStyles>
  <dxfs count="0"/>
  <tableStyles count="0" defaultTableStyle="TableStyleMedium2" defaultPivotStyle="PivotStyleMedium9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rfinances\AFFAIRES%20FINANCIERES\SUIVI%20BUDGETAIRE\2017\RIA%202\RIA2_2017_2A0000014_R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COPERMO\2018\TDB%20PRE\12-18\Jour%20carence_2018_11.xm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COPERMO\2018\TDB%20PRE\12-18\carenc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COPERMO\2018\TDB%20PRE\12-18\tta%20CODE%205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COPERMO\2018\TDB%20PRE\12-18\COPERMO%20INTERI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RECETTES\RECETTES%202018\09-18\REPARTITIONS_RECETTES%2009-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RECETTES\RECETTES%202018\10-18\REPARTITIONS_RECETTES%2010-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DG\RECETTES\RECETTES%202018\11-18\REPARTITIONS_RECETTES%2011-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rfinances\AFFAIRES%20FINANCIERES\TRESORERIE\TRESORERIE%202018\03-Mars\R&#233;alis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ages"/>
      <sheetName val="suivi_USLD_autonomes"/>
      <sheetName val="suivi_CRP"/>
      <sheetName val="projection_détaillée_CRPP"/>
      <sheetName val="suivi_synthétique_CRP"/>
      <sheetName val="projection_synthétique_CRP"/>
      <sheetName val="projection_USLD_autonomes"/>
      <sheetName val="projection_TFP_et_CAF"/>
      <sheetName val="projection_TFP_et_CAF_USLD_auto"/>
      <sheetName val="Définition indicateurs"/>
      <sheetName val="Indic_Prix"/>
      <sheetName val="Indic_Volume"/>
      <sheetName val="InfoVersion"/>
      <sheetName val="RIA2_2017_2A0000014_RH"/>
    </sheetNames>
    <definedNames>
      <definedName name="\projection_détaillée_CRPP\C_T1\REAL_N_1" refersTo="='projection_détaillée_CRPP'!$C$16"/>
    </definedNames>
    <sheetDataSet>
      <sheetData sheetId="0"/>
      <sheetData sheetId="1"/>
      <sheetData sheetId="2"/>
      <sheetData sheetId="3">
        <row r="16">
          <cell r="C16">
            <v>97337631.792000026</v>
          </cell>
        </row>
      </sheetData>
      <sheetData sheetId="4">
        <row r="26">
          <cell r="C26">
            <v>3848776.9400000004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ence EH"/>
      <sheetName val="Carence agent"/>
    </sheetNames>
    <sheetDataSet>
      <sheetData sheetId="0" refreshError="1">
        <row r="6">
          <cell r="I6">
            <v>8341.16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 refreshError="1">
        <row r="6">
          <cell r="I6">
            <v>6416.9100000000008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Rapport 1"/>
    </sheetNames>
    <sheetDataSet>
      <sheetData sheetId="0" refreshError="1">
        <row r="3">
          <cell r="A3" t="str">
            <v>Somme de Valeur Indicateur Coûts Paie Calendaire - 506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BUDGET"/>
      <sheetName val="PAR POLE"/>
    </sheetNames>
    <sheetDataSet>
      <sheetData sheetId="0" refreshError="1"/>
      <sheetData sheetId="1" refreshError="1">
        <row r="6">
          <cell r="M6">
            <v>465438.95945999998</v>
          </cell>
          <cell r="N6">
            <v>348729.92277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I UF"/>
      <sheetName val="UF"/>
      <sheetName val="UF UM"/>
      <sheetName val="A LIRE"/>
      <sheetName val="RECAP PAR UF"/>
      <sheetName val="Montant affecté "/>
      <sheetName val="    C.A. T2A par UM  lamda"/>
      <sheetName val="    C.A. T2A par UM  "/>
      <sheetName val="DMI valorisés ...l'AM"/>
      <sheetName val=" valorisation ext PMSI  "/>
      <sheetName val="ACE "/>
      <sheetName val="ATU"/>
      <sheetName val="SE"/>
      <sheetName val="Feuil2"/>
    </sheetNames>
    <sheetDataSet>
      <sheetData sheetId="0"/>
      <sheetData sheetId="1"/>
      <sheetData sheetId="2"/>
      <sheetData sheetId="3"/>
      <sheetData sheetId="4">
        <row r="70">
          <cell r="J70">
            <v>316364.01</v>
          </cell>
        </row>
        <row r="72">
          <cell r="J72">
            <v>5169312.38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I UF"/>
      <sheetName val="UF"/>
      <sheetName val="UF UM"/>
      <sheetName val="A LIRE"/>
      <sheetName val="RECAP PAR UF"/>
      <sheetName val="Montant affecté "/>
      <sheetName val="    C.A. T2A par UM  lamda"/>
      <sheetName val="    C.A. T2A par UM  "/>
      <sheetName val="DMI valorisés ...l'AM"/>
      <sheetName val=" valorisation ext PMSI  "/>
      <sheetName val="ACE "/>
      <sheetName val="ATU"/>
      <sheetName val="SE"/>
      <sheetName val="Feuil2"/>
      <sheetName val="Feuil1"/>
    </sheetNames>
    <sheetDataSet>
      <sheetData sheetId="0"/>
      <sheetData sheetId="1"/>
      <sheetData sheetId="2"/>
      <sheetData sheetId="3"/>
      <sheetData sheetId="4">
        <row r="69">
          <cell r="J69">
            <v>147786.91000000003</v>
          </cell>
        </row>
        <row r="73">
          <cell r="P73">
            <v>4839223.47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I UF"/>
      <sheetName val="UF"/>
      <sheetName val="UF UM"/>
      <sheetName val="A LIRE"/>
      <sheetName val="RECAP PAR UF"/>
      <sheetName val="Montant affecté "/>
      <sheetName val="    C.A. T2A par UM  lamda"/>
      <sheetName val="    C.A. T2A par UM  "/>
      <sheetName val="DMI valorisés ...l'AM"/>
      <sheetName val=" valorisation ext PMSI  "/>
      <sheetName val="ACE "/>
      <sheetName val="ATU"/>
      <sheetName val="SE"/>
      <sheetName val="Feuil2"/>
    </sheetNames>
    <sheetDataSet>
      <sheetData sheetId="0"/>
      <sheetData sheetId="1"/>
      <sheetData sheetId="2"/>
      <sheetData sheetId="3"/>
      <sheetData sheetId="4">
        <row r="70">
          <cell r="J70">
            <v>118778.69999999998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des encaissements"/>
      <sheetName val="journal des decaissement"/>
      <sheetName val="réalisé"/>
      <sheetName val="Feuil1"/>
      <sheetName val="TCD encaissements"/>
      <sheetName val="TCD décaissements"/>
      <sheetName val="correspondance tiers R"/>
      <sheetName val="correspondance créancier R"/>
      <sheetName val="correspondances tiers D"/>
      <sheetName val="correspondance créancier D"/>
    </sheetNames>
    <sheetDataSet>
      <sheetData sheetId="0" refreshError="1"/>
      <sheetData sheetId="1" refreshError="1"/>
      <sheetData sheetId="2" refreshError="1">
        <row r="46">
          <cell r="B46">
            <v>4459825.179999995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S32"/>
  <sheetViews>
    <sheetView tabSelected="1" workbookViewId="0">
      <selection activeCell="B10" sqref="B10"/>
    </sheetView>
  </sheetViews>
  <sheetFormatPr baseColWidth="10" defaultColWidth="11.42578125" defaultRowHeight="15" x14ac:dyDescent="0.25"/>
  <cols>
    <col min="1" max="1" width="52.28515625" bestFit="1" customWidth="1"/>
    <col min="2" max="2" width="30.42578125" bestFit="1" customWidth="1"/>
    <col min="3" max="14" width="11.5703125"/>
    <col min="15" max="16" width="11.85546875" bestFit="1" customWidth="1"/>
    <col min="17" max="18" width="11.5703125"/>
    <col min="19" max="19" width="11.85546875" bestFit="1" customWidth="1"/>
    <col min="20" max="27" width="11.5703125"/>
    <col min="28" max="28" width="11.85546875" bestFit="1" customWidth="1"/>
    <col min="29" max="16384" width="11.42578125" style="70"/>
  </cols>
  <sheetData>
    <row r="1" spans="1:31" x14ac:dyDescent="0.25">
      <c r="G1" s="132" t="s">
        <v>151</v>
      </c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1" ht="24" customHeight="1" x14ac:dyDescent="0.25">
      <c r="A2" s="130" t="s">
        <v>162</v>
      </c>
      <c r="B2" s="130"/>
      <c r="C2" s="130" t="s">
        <v>133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11" t="s">
        <v>152</v>
      </c>
      <c r="P2" s="130" t="s">
        <v>133</v>
      </c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11" t="s">
        <v>157</v>
      </c>
      <c r="AC2" s="126" t="s">
        <v>153</v>
      </c>
      <c r="AD2" s="126" t="s">
        <v>154</v>
      </c>
      <c r="AE2" s="126" t="s">
        <v>155</v>
      </c>
    </row>
    <row r="3" spans="1:31" ht="24.75" customHeight="1" x14ac:dyDescent="0.25">
      <c r="A3" s="131"/>
      <c r="B3" s="131"/>
      <c r="C3" s="123">
        <v>45292</v>
      </c>
      <c r="D3" s="123">
        <v>45323</v>
      </c>
      <c r="E3" s="123">
        <v>45352</v>
      </c>
      <c r="F3" s="123">
        <v>45383</v>
      </c>
      <c r="G3" s="123">
        <v>45413</v>
      </c>
      <c r="H3" s="123">
        <v>45444</v>
      </c>
      <c r="I3" s="123">
        <v>45474</v>
      </c>
      <c r="J3" s="123">
        <v>45505</v>
      </c>
      <c r="K3" s="123">
        <v>45536</v>
      </c>
      <c r="L3" s="123">
        <v>45566</v>
      </c>
      <c r="M3" s="123">
        <v>45597</v>
      </c>
      <c r="N3" s="123">
        <v>45627</v>
      </c>
      <c r="O3" s="112"/>
      <c r="P3" s="123">
        <v>45658</v>
      </c>
      <c r="Q3" s="123">
        <v>45689</v>
      </c>
      <c r="R3" s="123">
        <v>45717</v>
      </c>
      <c r="S3" s="123">
        <v>45748</v>
      </c>
      <c r="T3" s="123">
        <v>45778</v>
      </c>
      <c r="U3" s="123">
        <v>45809</v>
      </c>
      <c r="V3" s="123">
        <v>45839</v>
      </c>
      <c r="W3" s="123">
        <v>45870</v>
      </c>
      <c r="X3" s="123">
        <v>45901</v>
      </c>
      <c r="Y3" s="123">
        <v>45931</v>
      </c>
      <c r="Z3" s="123">
        <v>45962</v>
      </c>
      <c r="AA3" s="123">
        <v>45992</v>
      </c>
      <c r="AB3" s="112"/>
      <c r="AC3" s="127"/>
      <c r="AD3" s="127"/>
      <c r="AE3" s="127"/>
    </row>
    <row r="4" spans="1:31" x14ac:dyDescent="0.25">
      <c r="A4" t="s">
        <v>134</v>
      </c>
      <c r="B4" t="s">
        <v>135</v>
      </c>
      <c r="C4" s="110">
        <v>190.4792630968</v>
      </c>
      <c r="D4" s="110">
        <v>189.57142899990001</v>
      </c>
      <c r="E4" s="110">
        <v>188.79723545159999</v>
      </c>
      <c r="F4" s="110">
        <v>187.57142899999999</v>
      </c>
      <c r="G4" s="110">
        <v>187.05529996769999</v>
      </c>
      <c r="H4" s="110">
        <v>187.67142900010001</v>
      </c>
      <c r="I4" s="110">
        <v>189.21659029040001</v>
      </c>
      <c r="J4" s="110">
        <v>189.9262677097</v>
      </c>
      <c r="K4" s="110">
        <v>188.43809566659999</v>
      </c>
      <c r="L4" s="110">
        <v>186.57142899999999</v>
      </c>
      <c r="M4" s="110">
        <v>187.57142899999999</v>
      </c>
      <c r="N4" s="110">
        <v>187.4101386774</v>
      </c>
      <c r="O4" s="113">
        <f>+SUM(C4:N4)</f>
        <v>2260.2800358601999</v>
      </c>
      <c r="P4" s="110">
        <v>183.414286</v>
      </c>
      <c r="Q4" s="110">
        <v>188.05714314299999</v>
      </c>
      <c r="R4" s="110">
        <v>187.414286</v>
      </c>
      <c r="S4" s="110">
        <v>187.0809526667</v>
      </c>
      <c r="T4" s="110"/>
      <c r="U4" s="110"/>
      <c r="V4" s="110"/>
      <c r="W4" s="110"/>
      <c r="X4" s="110"/>
      <c r="Y4" s="110"/>
      <c r="Z4" s="110"/>
      <c r="AA4" s="110"/>
      <c r="AB4" s="113">
        <f>+SUM(P4:S4)</f>
        <v>745.96666780969997</v>
      </c>
      <c r="AC4" s="110">
        <f>+O4/12</f>
        <v>188.35666965501665</v>
      </c>
      <c r="AD4" s="110">
        <f>+AB4/4</f>
        <v>186.49166695242499</v>
      </c>
      <c r="AE4" s="110">
        <f>+AD4-AC4</f>
        <v>-1.8650027025916529</v>
      </c>
    </row>
    <row r="5" spans="1:31" x14ac:dyDescent="0.25">
      <c r="B5" t="s">
        <v>136</v>
      </c>
      <c r="C5" s="110">
        <v>1178.2714329999001</v>
      </c>
      <c r="D5" s="110">
        <v>1179.7000045172999</v>
      </c>
      <c r="E5" s="110">
        <v>1176.1953964193999</v>
      </c>
      <c r="F5" s="110">
        <v>1176.4190523333</v>
      </c>
      <c r="G5" s="110">
        <v>1176.6188989677</v>
      </c>
      <c r="H5" s="110">
        <v>1171.8000048998999</v>
      </c>
      <c r="I5" s="110">
        <v>1177.7525394192</v>
      </c>
      <c r="J5" s="110">
        <v>1181.1396361935999</v>
      </c>
      <c r="K5" s="110">
        <v>1184.4857191665999</v>
      </c>
      <c r="L5" s="110">
        <v>1180.5036913869999</v>
      </c>
      <c r="M5" s="110">
        <v>1177.2714335666999</v>
      </c>
      <c r="N5" s="110">
        <v>1173.5414795162001</v>
      </c>
      <c r="O5" s="113">
        <f t="shared" ref="O5:O31" si="0">+SUM(C5:N5)</f>
        <v>14133.699289386801</v>
      </c>
      <c r="P5" s="110">
        <v>1170.9977008065</v>
      </c>
      <c r="Q5" s="110">
        <v>1200.3724543581</v>
      </c>
      <c r="R5" s="110">
        <v>1204.0368716452001</v>
      </c>
      <c r="S5" s="110">
        <v>1198.3142909999999</v>
      </c>
      <c r="T5" s="110"/>
      <c r="U5" s="110"/>
      <c r="V5" s="110"/>
      <c r="W5" s="110"/>
      <c r="X5" s="110"/>
      <c r="Y5" s="110"/>
      <c r="Z5" s="110"/>
      <c r="AA5" s="110"/>
      <c r="AB5" s="113">
        <f t="shared" ref="AB5:AB31" si="1">+SUM(P5:S5)</f>
        <v>4773.7213178098</v>
      </c>
      <c r="AC5" s="110">
        <f t="shared" ref="AC5:AC31" si="2">+O5/12</f>
        <v>1177.8082741155667</v>
      </c>
      <c r="AD5" s="110">
        <f t="shared" ref="AD5:AD31" si="3">+AB5/4</f>
        <v>1193.43032945245</v>
      </c>
      <c r="AE5" s="110">
        <f t="shared" ref="AE5:AE31" si="4">+AD5-AC5</f>
        <v>15.62205533688325</v>
      </c>
    </row>
    <row r="6" spans="1:31" x14ac:dyDescent="0.25">
      <c r="B6" t="s">
        <v>137</v>
      </c>
      <c r="C6" s="110">
        <v>166.6</v>
      </c>
      <c r="D6" s="110">
        <v>166.59999999990001</v>
      </c>
      <c r="E6" s="110">
        <v>167.89032258060001</v>
      </c>
      <c r="F6" s="110">
        <v>169.53333333329999</v>
      </c>
      <c r="G6" s="110">
        <v>169.6</v>
      </c>
      <c r="H6" s="110">
        <v>173.76666666669999</v>
      </c>
      <c r="I6" s="110">
        <v>173.6</v>
      </c>
      <c r="J6" s="110">
        <v>173.6</v>
      </c>
      <c r="K6" s="110">
        <v>173.6</v>
      </c>
      <c r="L6" s="110">
        <v>175.18064516129999</v>
      </c>
      <c r="M6" s="110">
        <v>175.1</v>
      </c>
      <c r="N6" s="110">
        <v>177.34101396759999</v>
      </c>
      <c r="O6" s="113">
        <f t="shared" si="0"/>
        <v>2062.4119817093997</v>
      </c>
      <c r="P6" s="110">
        <v>179.85714300000001</v>
      </c>
      <c r="Q6" s="110">
        <v>178.85714300000001</v>
      </c>
      <c r="R6" s="110">
        <v>179.85714300000001</v>
      </c>
      <c r="S6" s="110">
        <v>179.85714300000001</v>
      </c>
      <c r="T6" s="110"/>
      <c r="U6" s="110"/>
      <c r="V6" s="110"/>
      <c r="W6" s="110"/>
      <c r="X6" s="110"/>
      <c r="Y6" s="110"/>
      <c r="Z6" s="110"/>
      <c r="AA6" s="110"/>
      <c r="AB6" s="113">
        <f t="shared" si="1"/>
        <v>718.42857200000003</v>
      </c>
      <c r="AC6" s="110">
        <f t="shared" si="2"/>
        <v>171.86766514244997</v>
      </c>
      <c r="AD6" s="110">
        <f t="shared" si="3"/>
        <v>179.60714300000001</v>
      </c>
      <c r="AE6" s="110">
        <f t="shared" si="4"/>
        <v>7.7394778575500425</v>
      </c>
    </row>
    <row r="7" spans="1:31" x14ac:dyDescent="0.25">
      <c r="B7" t="s">
        <v>138</v>
      </c>
      <c r="C7" s="110">
        <v>73.557143999999994</v>
      </c>
      <c r="D7" s="110">
        <v>73.557143999999994</v>
      </c>
      <c r="E7" s="110">
        <v>73.557143999999994</v>
      </c>
      <c r="F7" s="110">
        <v>72.557143999999994</v>
      </c>
      <c r="G7" s="110">
        <v>72.557143999999994</v>
      </c>
      <c r="H7" s="110">
        <v>72.957144</v>
      </c>
      <c r="I7" s="110">
        <v>72.557143999999994</v>
      </c>
      <c r="J7" s="110">
        <v>72.557143999999994</v>
      </c>
      <c r="K7" s="110">
        <v>73.461905999999999</v>
      </c>
      <c r="L7" s="110">
        <v>72.736867645199993</v>
      </c>
      <c r="M7" s="110">
        <v>72.471429999999998</v>
      </c>
      <c r="N7" s="110">
        <v>72.471429999999998</v>
      </c>
      <c r="O7" s="113">
        <f t="shared" si="0"/>
        <v>874.99878564520009</v>
      </c>
      <c r="P7" s="110">
        <v>73.471429999999998</v>
      </c>
      <c r="Q7" s="110">
        <v>74.400001428600007</v>
      </c>
      <c r="R7" s="110">
        <v>74.194932161300002</v>
      </c>
      <c r="S7" s="110">
        <v>73.614287000000004</v>
      </c>
      <c r="T7" s="110"/>
      <c r="U7" s="110"/>
      <c r="V7" s="110"/>
      <c r="W7" s="110"/>
      <c r="X7" s="110"/>
      <c r="Y7" s="110"/>
      <c r="Z7" s="110"/>
      <c r="AA7" s="110"/>
      <c r="AB7" s="113">
        <f t="shared" si="1"/>
        <v>295.68065058989998</v>
      </c>
      <c r="AC7" s="110">
        <f t="shared" si="2"/>
        <v>72.916565470433341</v>
      </c>
      <c r="AD7" s="110">
        <f t="shared" si="3"/>
        <v>73.920162647474996</v>
      </c>
      <c r="AE7" s="110">
        <f t="shared" si="4"/>
        <v>1.0035971770416552</v>
      </c>
    </row>
    <row r="8" spans="1:31" x14ac:dyDescent="0.25">
      <c r="B8" t="s">
        <v>146</v>
      </c>
      <c r="C8" s="110">
        <v>5</v>
      </c>
      <c r="D8" s="110">
        <v>5</v>
      </c>
      <c r="E8" s="110">
        <v>5</v>
      </c>
      <c r="F8" s="110">
        <v>5</v>
      </c>
      <c r="G8" s="110">
        <v>5</v>
      </c>
      <c r="H8" s="110">
        <v>5</v>
      </c>
      <c r="I8" s="110">
        <v>5</v>
      </c>
      <c r="J8" s="110">
        <v>5</v>
      </c>
      <c r="K8" s="110">
        <v>5</v>
      </c>
      <c r="L8" s="110">
        <v>5</v>
      </c>
      <c r="M8" s="110">
        <v>5</v>
      </c>
      <c r="N8" s="110">
        <v>5</v>
      </c>
      <c r="O8" s="113">
        <f t="shared" si="0"/>
        <v>60</v>
      </c>
      <c r="P8" s="110">
        <v>5</v>
      </c>
      <c r="Q8" s="110">
        <v>5</v>
      </c>
      <c r="R8" s="110">
        <v>5</v>
      </c>
      <c r="S8" s="110">
        <v>5</v>
      </c>
      <c r="T8" s="110"/>
      <c r="U8" s="110"/>
      <c r="V8" s="110"/>
      <c r="W8" s="110"/>
      <c r="X8" s="110"/>
      <c r="Y8" s="110"/>
      <c r="Z8" s="110"/>
      <c r="AA8" s="110"/>
      <c r="AB8" s="113">
        <f t="shared" si="1"/>
        <v>20</v>
      </c>
      <c r="AC8" s="110">
        <f t="shared" si="2"/>
        <v>5</v>
      </c>
      <c r="AD8" s="110">
        <f t="shared" si="3"/>
        <v>5</v>
      </c>
      <c r="AE8" s="110">
        <f t="shared" si="4"/>
        <v>0</v>
      </c>
    </row>
    <row r="9" spans="1:31" x14ac:dyDescent="0.25">
      <c r="A9" s="114" t="s">
        <v>139</v>
      </c>
      <c r="B9" s="114"/>
      <c r="C9" s="115">
        <f>+SUM(C4:C8)</f>
        <v>1613.9078400967001</v>
      </c>
      <c r="D9" s="115">
        <f t="shared" ref="D9:N9" si="5">+SUM(D4:D8)</f>
        <v>1614.4285775171002</v>
      </c>
      <c r="E9" s="115">
        <f t="shared" si="5"/>
        <v>1611.4400984516001</v>
      </c>
      <c r="F9" s="115">
        <f t="shared" si="5"/>
        <v>1611.0809586666001</v>
      </c>
      <c r="G9" s="115">
        <f t="shared" si="5"/>
        <v>1610.8313429353998</v>
      </c>
      <c r="H9" s="115">
        <f t="shared" si="5"/>
        <v>1611.1952445667</v>
      </c>
      <c r="I9" s="115">
        <f t="shared" si="5"/>
        <v>1618.1262737095999</v>
      </c>
      <c r="J9" s="115">
        <f t="shared" si="5"/>
        <v>1622.2230479032996</v>
      </c>
      <c r="K9" s="115">
        <f t="shared" si="5"/>
        <v>1624.9857208331998</v>
      </c>
      <c r="L9" s="115">
        <f t="shared" si="5"/>
        <v>1619.9926331934998</v>
      </c>
      <c r="M9" s="115">
        <f t="shared" si="5"/>
        <v>1617.4142925666999</v>
      </c>
      <c r="N9" s="115">
        <f t="shared" si="5"/>
        <v>1615.7640621612002</v>
      </c>
      <c r="O9" s="115">
        <f t="shared" si="0"/>
        <v>19391.390092601599</v>
      </c>
      <c r="P9" s="115">
        <f>+SUM(P4:P8)</f>
        <v>1612.7405598065</v>
      </c>
      <c r="Q9" s="115">
        <f t="shared" ref="Q9:AA9" si="6">+SUM(Q4:Q8)</f>
        <v>1646.6867419297</v>
      </c>
      <c r="R9" s="115">
        <f t="shared" si="6"/>
        <v>1650.5032328064999</v>
      </c>
      <c r="S9" s="115">
        <f t="shared" si="6"/>
        <v>1643.8666736667001</v>
      </c>
      <c r="T9" s="115">
        <f t="shared" si="6"/>
        <v>0</v>
      </c>
      <c r="U9" s="115">
        <f t="shared" si="6"/>
        <v>0</v>
      </c>
      <c r="V9" s="115">
        <f t="shared" si="6"/>
        <v>0</v>
      </c>
      <c r="W9" s="115">
        <f t="shared" si="6"/>
        <v>0</v>
      </c>
      <c r="X9" s="115">
        <f t="shared" si="6"/>
        <v>0</v>
      </c>
      <c r="Y9" s="115">
        <f t="shared" si="6"/>
        <v>0</v>
      </c>
      <c r="Z9" s="115">
        <f t="shared" si="6"/>
        <v>0</v>
      </c>
      <c r="AA9" s="115">
        <f t="shared" si="6"/>
        <v>0</v>
      </c>
      <c r="AB9" s="115">
        <f t="shared" si="1"/>
        <v>6553.7972082094002</v>
      </c>
      <c r="AC9" s="115">
        <f t="shared" si="2"/>
        <v>1615.9491743834667</v>
      </c>
      <c r="AD9" s="115">
        <f t="shared" si="3"/>
        <v>1638.44930205235</v>
      </c>
      <c r="AE9" s="115">
        <f t="shared" si="4"/>
        <v>22.500127668883351</v>
      </c>
    </row>
    <row r="10" spans="1:31" x14ac:dyDescent="0.25">
      <c r="A10" t="s">
        <v>140</v>
      </c>
      <c r="B10" t="s">
        <v>135</v>
      </c>
      <c r="C10" s="110">
        <v>12.5</v>
      </c>
      <c r="D10" s="110">
        <v>12.5</v>
      </c>
      <c r="E10" s="110">
        <v>12.5</v>
      </c>
      <c r="F10" s="110">
        <v>12.5</v>
      </c>
      <c r="G10" s="110">
        <v>12.5</v>
      </c>
      <c r="H10" s="110">
        <v>12.5</v>
      </c>
      <c r="I10" s="110">
        <v>12.5</v>
      </c>
      <c r="J10" s="110">
        <v>12.5</v>
      </c>
      <c r="K10" s="110">
        <v>12.5</v>
      </c>
      <c r="L10" s="110">
        <v>12.5</v>
      </c>
      <c r="M10" s="110">
        <v>12.5</v>
      </c>
      <c r="N10" s="110">
        <v>12.5</v>
      </c>
      <c r="O10" s="113">
        <f t="shared" si="0"/>
        <v>150</v>
      </c>
      <c r="P10" s="110">
        <v>13.11</v>
      </c>
      <c r="Q10" s="110">
        <v>13.5</v>
      </c>
      <c r="R10" s="110">
        <v>12.47</v>
      </c>
      <c r="S10" s="110">
        <v>11.5</v>
      </c>
      <c r="T10" s="110"/>
      <c r="U10" s="110"/>
      <c r="V10" s="110"/>
      <c r="W10" s="110"/>
      <c r="X10" s="110"/>
      <c r="Y10" s="110"/>
      <c r="Z10" s="110"/>
      <c r="AA10" s="110"/>
      <c r="AB10" s="113">
        <f t="shared" si="1"/>
        <v>50.58</v>
      </c>
      <c r="AC10" s="110">
        <f t="shared" si="2"/>
        <v>12.5</v>
      </c>
      <c r="AD10" s="110">
        <f t="shared" si="3"/>
        <v>12.645</v>
      </c>
      <c r="AE10" s="110">
        <f t="shared" si="4"/>
        <v>0.14499999999999957</v>
      </c>
    </row>
    <row r="11" spans="1:31" x14ac:dyDescent="0.25">
      <c r="B11" t="s">
        <v>136</v>
      </c>
      <c r="C11" s="110">
        <v>35.2971430001</v>
      </c>
      <c r="D11" s="110">
        <v>48.797142999999998</v>
      </c>
      <c r="E11" s="110">
        <v>54.313272032299999</v>
      </c>
      <c r="F11" s="110">
        <v>55.673809666700002</v>
      </c>
      <c r="G11" s="110">
        <v>54.307143000000003</v>
      </c>
      <c r="H11" s="110">
        <v>55.373809666500001</v>
      </c>
      <c r="I11" s="110">
        <v>51.839401064599997</v>
      </c>
      <c r="J11" s="110">
        <v>43.678110741899999</v>
      </c>
      <c r="K11" s="110">
        <v>40.807143000000003</v>
      </c>
      <c r="L11" s="110">
        <v>41.757834387199999</v>
      </c>
      <c r="M11" s="110">
        <v>41.278571599999999</v>
      </c>
      <c r="N11" s="110">
        <v>41.107143000000001</v>
      </c>
      <c r="O11" s="113">
        <f t="shared" si="0"/>
        <v>564.23052415929999</v>
      </c>
      <c r="P11" s="110">
        <v>41.244239774199997</v>
      </c>
      <c r="Q11" s="110">
        <v>59.7142858574</v>
      </c>
      <c r="R11" s="110">
        <v>62.357143000000001</v>
      </c>
      <c r="S11" s="110">
        <v>65.357142999999994</v>
      </c>
      <c r="T11" s="110"/>
      <c r="U11" s="110"/>
      <c r="V11" s="110"/>
      <c r="W11" s="110"/>
      <c r="X11" s="110"/>
      <c r="Y11" s="110"/>
      <c r="Z11" s="110"/>
      <c r="AA11" s="110"/>
      <c r="AB11" s="113">
        <f t="shared" si="1"/>
        <v>228.67281163159998</v>
      </c>
      <c r="AC11" s="110">
        <f t="shared" si="2"/>
        <v>47.019210346608332</v>
      </c>
      <c r="AD11" s="110">
        <f t="shared" si="3"/>
        <v>57.168202907899996</v>
      </c>
      <c r="AE11" s="110">
        <f t="shared" si="4"/>
        <v>10.148992561291664</v>
      </c>
    </row>
    <row r="12" spans="1:31" x14ac:dyDescent="0.25">
      <c r="B12" t="s">
        <v>137</v>
      </c>
      <c r="C12" s="110">
        <v>13.4193548388</v>
      </c>
      <c r="D12" s="110">
        <v>14</v>
      </c>
      <c r="E12" s="110">
        <v>14</v>
      </c>
      <c r="F12" s="110">
        <v>14.9666666666</v>
      </c>
      <c r="G12" s="110">
        <v>15</v>
      </c>
      <c r="H12" s="110">
        <v>15</v>
      </c>
      <c r="I12" s="110">
        <v>15</v>
      </c>
      <c r="J12" s="110">
        <v>15</v>
      </c>
      <c r="K12" s="110">
        <v>15</v>
      </c>
      <c r="L12" s="110">
        <v>15</v>
      </c>
      <c r="M12" s="110">
        <v>15</v>
      </c>
      <c r="N12" s="110">
        <v>12.3870967743</v>
      </c>
      <c r="O12" s="113">
        <f t="shared" si="0"/>
        <v>173.77311827970001</v>
      </c>
      <c r="P12" s="110">
        <v>12</v>
      </c>
      <c r="Q12" s="110">
        <v>12</v>
      </c>
      <c r="R12" s="110">
        <v>12</v>
      </c>
      <c r="S12" s="110">
        <v>10</v>
      </c>
      <c r="T12" s="110"/>
      <c r="U12" s="110"/>
      <c r="V12" s="110"/>
      <c r="W12" s="110"/>
      <c r="X12" s="110"/>
      <c r="Y12" s="110"/>
      <c r="Z12" s="110"/>
      <c r="AA12" s="110"/>
      <c r="AB12" s="113">
        <f t="shared" si="1"/>
        <v>46</v>
      </c>
      <c r="AC12" s="110">
        <f t="shared" si="2"/>
        <v>14.481093189975001</v>
      </c>
      <c r="AD12" s="110">
        <f t="shared" si="3"/>
        <v>11.5</v>
      </c>
      <c r="AE12" s="110">
        <f t="shared" si="4"/>
        <v>-2.9810931899750006</v>
      </c>
    </row>
    <row r="13" spans="1:31" x14ac:dyDescent="0.25">
      <c r="B13" t="s">
        <v>138</v>
      </c>
      <c r="C13" s="110">
        <v>1.857143</v>
      </c>
      <c r="D13" s="110">
        <v>1.857143</v>
      </c>
      <c r="E13" s="110">
        <v>1.857143</v>
      </c>
      <c r="F13" s="110">
        <v>1.857143</v>
      </c>
      <c r="G13" s="110">
        <v>1.857143</v>
      </c>
      <c r="H13" s="110">
        <v>2.4571429999999999</v>
      </c>
      <c r="I13" s="110">
        <v>1.857143</v>
      </c>
      <c r="J13" s="110">
        <v>1.857143</v>
      </c>
      <c r="K13" s="110">
        <v>1.857143</v>
      </c>
      <c r="L13" s="110">
        <v>1.857143</v>
      </c>
      <c r="M13" s="110">
        <v>1.857143</v>
      </c>
      <c r="N13" s="110">
        <v>1.857143</v>
      </c>
      <c r="O13" s="113">
        <f t="shared" si="0"/>
        <v>22.885716000000002</v>
      </c>
      <c r="P13" s="110">
        <v>1.857143</v>
      </c>
      <c r="Q13" s="110">
        <v>1.857143</v>
      </c>
      <c r="R13" s="110">
        <v>1.857143</v>
      </c>
      <c r="S13" s="110">
        <v>1.857143</v>
      </c>
      <c r="T13" s="110"/>
      <c r="U13" s="110"/>
      <c r="V13" s="110"/>
      <c r="W13" s="110"/>
      <c r="X13" s="110"/>
      <c r="Y13" s="110"/>
      <c r="Z13" s="110"/>
      <c r="AA13" s="110"/>
      <c r="AB13" s="113">
        <f t="shared" si="1"/>
        <v>7.428572</v>
      </c>
      <c r="AC13" s="110">
        <f t="shared" si="2"/>
        <v>1.9071430000000003</v>
      </c>
      <c r="AD13" s="110">
        <f t="shared" si="3"/>
        <v>1.857143</v>
      </c>
      <c r="AE13" s="110">
        <f t="shared" si="4"/>
        <v>-5.0000000000000266E-2</v>
      </c>
    </row>
    <row r="14" spans="1:31" x14ac:dyDescent="0.25">
      <c r="A14" s="114" t="s">
        <v>141</v>
      </c>
      <c r="B14" s="114"/>
      <c r="C14" s="115">
        <f>+SUM(C10:C13)</f>
        <v>63.073640838899998</v>
      </c>
      <c r="D14" s="115">
        <f t="shared" ref="D14:N14" si="7">+SUM(D10:D13)</f>
        <v>77.154285999999999</v>
      </c>
      <c r="E14" s="115">
        <f t="shared" si="7"/>
        <v>82.670415032299999</v>
      </c>
      <c r="F14" s="115">
        <f t="shared" si="7"/>
        <v>84.997619333300008</v>
      </c>
      <c r="G14" s="115">
        <f t="shared" si="7"/>
        <v>83.66428599999999</v>
      </c>
      <c r="H14" s="115">
        <f t="shared" si="7"/>
        <v>85.330952666499996</v>
      </c>
      <c r="I14" s="115">
        <f t="shared" si="7"/>
        <v>81.196544064599991</v>
      </c>
      <c r="J14" s="115">
        <f t="shared" si="7"/>
        <v>73.035253741899993</v>
      </c>
      <c r="K14" s="115">
        <f t="shared" si="7"/>
        <v>70.16428599999999</v>
      </c>
      <c r="L14" s="115">
        <f t="shared" si="7"/>
        <v>71.1149773872</v>
      </c>
      <c r="M14" s="115">
        <f t="shared" si="7"/>
        <v>70.635714599999986</v>
      </c>
      <c r="N14" s="115">
        <f t="shared" si="7"/>
        <v>67.851382774299992</v>
      </c>
      <c r="O14" s="116">
        <f t="shared" si="0"/>
        <v>910.88935843899992</v>
      </c>
      <c r="P14" s="115">
        <f>+SUM(P10:P13)</f>
        <v>68.21138277419999</v>
      </c>
      <c r="Q14" s="115">
        <f t="shared" ref="Q14:AA14" si="8">+SUM(Q10:Q13)</f>
        <v>87.071428857399994</v>
      </c>
      <c r="R14" s="115">
        <f t="shared" si="8"/>
        <v>88.684286</v>
      </c>
      <c r="S14" s="115">
        <f t="shared" si="8"/>
        <v>88.714285999999987</v>
      </c>
      <c r="T14" s="115">
        <f t="shared" si="8"/>
        <v>0</v>
      </c>
      <c r="U14" s="115">
        <f t="shared" si="8"/>
        <v>0</v>
      </c>
      <c r="V14" s="115">
        <f t="shared" si="8"/>
        <v>0</v>
      </c>
      <c r="W14" s="115">
        <f t="shared" si="8"/>
        <v>0</v>
      </c>
      <c r="X14" s="115">
        <f t="shared" si="8"/>
        <v>0</v>
      </c>
      <c r="Y14" s="115">
        <f t="shared" si="8"/>
        <v>0</v>
      </c>
      <c r="Z14" s="115">
        <f t="shared" si="8"/>
        <v>0</v>
      </c>
      <c r="AA14" s="115">
        <f t="shared" si="8"/>
        <v>0</v>
      </c>
      <c r="AB14" s="115">
        <f t="shared" si="1"/>
        <v>332.68138363159994</v>
      </c>
      <c r="AC14" s="115">
        <f t="shared" si="2"/>
        <v>75.907446536583322</v>
      </c>
      <c r="AD14" s="115">
        <f t="shared" si="3"/>
        <v>83.170345907899986</v>
      </c>
      <c r="AE14" s="115">
        <f t="shared" si="4"/>
        <v>7.2628993713166636</v>
      </c>
    </row>
    <row r="15" spans="1:31" s="122" customFormat="1" x14ac:dyDescent="0.25">
      <c r="A15" s="128" t="s">
        <v>150</v>
      </c>
      <c r="B15" s="129"/>
      <c r="C15" s="121">
        <f>+C14+C9</f>
        <v>1676.9814809356001</v>
      </c>
      <c r="D15" s="121">
        <f t="shared" ref="D15:N15" si="9">+D14+D9</f>
        <v>1691.5828635171001</v>
      </c>
      <c r="E15" s="121">
        <f t="shared" si="9"/>
        <v>1694.1105134839001</v>
      </c>
      <c r="F15" s="121">
        <f t="shared" si="9"/>
        <v>1696.0785779999001</v>
      </c>
      <c r="G15" s="121">
        <f t="shared" si="9"/>
        <v>1694.4956289353997</v>
      </c>
      <c r="H15" s="121">
        <f t="shared" si="9"/>
        <v>1696.5261972332</v>
      </c>
      <c r="I15" s="121">
        <f t="shared" si="9"/>
        <v>1699.3228177741998</v>
      </c>
      <c r="J15" s="121">
        <f t="shared" si="9"/>
        <v>1695.2583016451997</v>
      </c>
      <c r="K15" s="121">
        <f t="shared" si="9"/>
        <v>1695.1500068331998</v>
      </c>
      <c r="L15" s="121">
        <f t="shared" si="9"/>
        <v>1691.1076105806999</v>
      </c>
      <c r="M15" s="121">
        <f t="shared" si="9"/>
        <v>1688.0500071667</v>
      </c>
      <c r="N15" s="121">
        <f t="shared" si="9"/>
        <v>1683.6154449355001</v>
      </c>
      <c r="O15" s="121">
        <f t="shared" si="0"/>
        <v>20302.279451040602</v>
      </c>
      <c r="P15" s="121">
        <f>+P14+P9</f>
        <v>1680.9519425807</v>
      </c>
      <c r="Q15" s="121">
        <f t="shared" ref="Q15:AA15" si="10">+Q14+Q9</f>
        <v>1733.7581707871</v>
      </c>
      <c r="R15" s="121">
        <f t="shared" si="10"/>
        <v>1739.1875188064998</v>
      </c>
      <c r="S15" s="121">
        <f t="shared" si="10"/>
        <v>1732.5809596667</v>
      </c>
      <c r="T15" s="121">
        <f t="shared" si="10"/>
        <v>0</v>
      </c>
      <c r="U15" s="121">
        <f t="shared" si="10"/>
        <v>0</v>
      </c>
      <c r="V15" s="121">
        <f t="shared" si="10"/>
        <v>0</v>
      </c>
      <c r="W15" s="121">
        <f t="shared" si="10"/>
        <v>0</v>
      </c>
      <c r="X15" s="121">
        <f t="shared" si="10"/>
        <v>0</v>
      </c>
      <c r="Y15" s="121">
        <f t="shared" si="10"/>
        <v>0</v>
      </c>
      <c r="Z15" s="121">
        <f t="shared" si="10"/>
        <v>0</v>
      </c>
      <c r="AA15" s="121">
        <f t="shared" si="10"/>
        <v>0</v>
      </c>
      <c r="AB15" s="121">
        <f t="shared" si="1"/>
        <v>6886.4785918409998</v>
      </c>
      <c r="AC15" s="121">
        <f t="shared" si="2"/>
        <v>1691.8566209200501</v>
      </c>
      <c r="AD15" s="121">
        <f t="shared" si="3"/>
        <v>1721.6196479602499</v>
      </c>
      <c r="AE15" s="121">
        <f t="shared" si="4"/>
        <v>29.763027040199859</v>
      </c>
    </row>
    <row r="16" spans="1:31" x14ac:dyDescent="0.25">
      <c r="A16" t="s">
        <v>142</v>
      </c>
      <c r="B16" t="s">
        <v>135</v>
      </c>
      <c r="C16" s="110">
        <v>34.709677419400002</v>
      </c>
      <c r="D16" s="110">
        <v>35.500000000100002</v>
      </c>
      <c r="E16" s="110">
        <v>34.951612903200001</v>
      </c>
      <c r="F16" s="110">
        <v>36.5</v>
      </c>
      <c r="G16" s="110">
        <v>37.2741935484</v>
      </c>
      <c r="H16" s="110">
        <v>38.133333333300001</v>
      </c>
      <c r="I16" s="110">
        <v>40.951612903399997</v>
      </c>
      <c r="J16" s="110">
        <v>40.887096774200003</v>
      </c>
      <c r="K16" s="110">
        <v>38.5</v>
      </c>
      <c r="L16" s="110">
        <v>38.5</v>
      </c>
      <c r="M16" s="110">
        <v>38.666666666700003</v>
      </c>
      <c r="N16" s="110">
        <v>40.177419354800001</v>
      </c>
      <c r="O16" s="113">
        <f t="shared" si="0"/>
        <v>454.75161290350002</v>
      </c>
      <c r="P16" s="110">
        <v>42.016129032199999</v>
      </c>
      <c r="Q16" s="110">
        <v>49.178571428700003</v>
      </c>
      <c r="R16" s="110">
        <v>52.951612903200001</v>
      </c>
      <c r="S16" s="110">
        <v>52.2</v>
      </c>
      <c r="T16" s="110"/>
      <c r="U16" s="110"/>
      <c r="V16" s="110"/>
      <c r="W16" s="110"/>
      <c r="X16" s="110"/>
      <c r="Y16" s="110"/>
      <c r="Z16" s="110"/>
      <c r="AA16" s="110"/>
      <c r="AB16" s="113">
        <f t="shared" si="1"/>
        <v>196.34631336410001</v>
      </c>
      <c r="AC16" s="110">
        <f t="shared" si="2"/>
        <v>37.895967741958337</v>
      </c>
      <c r="AD16" s="110">
        <f t="shared" si="3"/>
        <v>49.086578341025003</v>
      </c>
      <c r="AE16" s="110">
        <f t="shared" si="4"/>
        <v>11.190610599066666</v>
      </c>
    </row>
    <row r="17" spans="1:45" x14ac:dyDescent="0.25">
      <c r="B17" t="s">
        <v>136</v>
      </c>
      <c r="C17" s="110">
        <v>197.61290322569999</v>
      </c>
      <c r="D17" s="110">
        <v>190.81034482749999</v>
      </c>
      <c r="E17" s="110">
        <v>195.40322580610001</v>
      </c>
      <c r="F17" s="110">
        <v>199.83333333319999</v>
      </c>
      <c r="G17" s="110">
        <v>208.16129032289999</v>
      </c>
      <c r="H17" s="110">
        <v>210.0333333337</v>
      </c>
      <c r="I17" s="110">
        <v>253.11290322599999</v>
      </c>
      <c r="J17" s="110">
        <v>276.4516129031</v>
      </c>
      <c r="K17" s="110">
        <v>232.0000000002</v>
      </c>
      <c r="L17" s="110">
        <v>232.24193548439999</v>
      </c>
      <c r="M17" s="110">
        <v>239.23333333319999</v>
      </c>
      <c r="N17" s="110">
        <v>241.9193548387</v>
      </c>
      <c r="O17" s="113">
        <f t="shared" si="0"/>
        <v>2676.8135706347002</v>
      </c>
      <c r="P17" s="110">
        <v>241.1451612903</v>
      </c>
      <c r="Q17" s="110">
        <v>247.03571428590001</v>
      </c>
      <c r="R17" s="110">
        <v>251.12903225790001</v>
      </c>
      <c r="S17" s="110">
        <v>251.29047633350001</v>
      </c>
      <c r="T17" s="110"/>
      <c r="U17" s="110"/>
      <c r="V17" s="110"/>
      <c r="W17" s="110"/>
      <c r="X17" s="110"/>
      <c r="Y17" s="110"/>
      <c r="Z17" s="110"/>
      <c r="AA17" s="110"/>
      <c r="AB17" s="113">
        <f t="shared" si="1"/>
        <v>990.60038416760005</v>
      </c>
      <c r="AC17" s="110">
        <f t="shared" si="2"/>
        <v>223.06779755289168</v>
      </c>
      <c r="AD17" s="110">
        <f t="shared" si="3"/>
        <v>247.65009604190001</v>
      </c>
      <c r="AE17" s="110">
        <f t="shared" si="4"/>
        <v>24.582298489008338</v>
      </c>
    </row>
    <row r="18" spans="1:45" x14ac:dyDescent="0.25">
      <c r="B18" t="s">
        <v>137</v>
      </c>
      <c r="C18" s="110">
        <v>29.848387096700002</v>
      </c>
      <c r="D18" s="110">
        <v>28.3</v>
      </c>
      <c r="E18" s="110">
        <v>28.3</v>
      </c>
      <c r="F18" s="110">
        <v>28.5</v>
      </c>
      <c r="G18" s="110">
        <v>30.396774193599999</v>
      </c>
      <c r="H18" s="110">
        <v>31.3</v>
      </c>
      <c r="I18" s="110">
        <v>31.3</v>
      </c>
      <c r="J18" s="110">
        <v>30.8</v>
      </c>
      <c r="K18" s="110">
        <v>32.433333333299998</v>
      </c>
      <c r="L18" s="110">
        <v>32.799999999999997</v>
      </c>
      <c r="M18" s="110">
        <v>33.299999999999997</v>
      </c>
      <c r="N18" s="110">
        <v>32.138709677500003</v>
      </c>
      <c r="O18" s="113">
        <f t="shared" si="0"/>
        <v>369.41720430110007</v>
      </c>
      <c r="P18" s="110">
        <v>21.838709677400001</v>
      </c>
      <c r="Q18" s="110">
        <v>23</v>
      </c>
      <c r="R18" s="110">
        <v>23.870967742000001</v>
      </c>
      <c r="S18" s="110">
        <v>21.2</v>
      </c>
      <c r="T18" s="110"/>
      <c r="U18" s="110"/>
      <c r="V18" s="110"/>
      <c r="W18" s="110"/>
      <c r="X18" s="110"/>
      <c r="Y18" s="110"/>
      <c r="Z18" s="110"/>
      <c r="AA18" s="110"/>
      <c r="AB18" s="113">
        <f t="shared" si="1"/>
        <v>89.909677419400012</v>
      </c>
      <c r="AC18" s="110">
        <f t="shared" si="2"/>
        <v>30.784767025091671</v>
      </c>
      <c r="AD18" s="110">
        <f t="shared" si="3"/>
        <v>22.477419354850003</v>
      </c>
      <c r="AE18" s="110">
        <f t="shared" si="4"/>
        <v>-8.3073476702416684</v>
      </c>
    </row>
    <row r="19" spans="1:45" x14ac:dyDescent="0.25">
      <c r="B19" t="s">
        <v>138</v>
      </c>
      <c r="C19" s="110">
        <v>15.967741935399999</v>
      </c>
      <c r="D19" s="110">
        <v>17</v>
      </c>
      <c r="E19" s="110">
        <v>17</v>
      </c>
      <c r="F19" s="110">
        <v>16.166666666699999</v>
      </c>
      <c r="G19" s="110">
        <v>17.3225806451</v>
      </c>
      <c r="H19" s="110">
        <v>18</v>
      </c>
      <c r="I19" s="110">
        <v>19.870967741899999</v>
      </c>
      <c r="J19" s="110">
        <v>21.741935483799999</v>
      </c>
      <c r="K19" s="110">
        <v>21.633333333300001</v>
      </c>
      <c r="L19" s="110">
        <v>21.645161290299999</v>
      </c>
      <c r="M19" s="110">
        <v>21.766666666599999</v>
      </c>
      <c r="N19" s="110">
        <v>22.870967742000001</v>
      </c>
      <c r="O19" s="113">
        <f t="shared" si="0"/>
        <v>230.98602150510001</v>
      </c>
      <c r="P19" s="110">
        <v>31.3</v>
      </c>
      <c r="Q19" s="110">
        <v>31.3</v>
      </c>
      <c r="R19" s="110">
        <v>31.3</v>
      </c>
      <c r="S19" s="110">
        <v>31</v>
      </c>
      <c r="T19" s="110"/>
      <c r="U19" s="110"/>
      <c r="V19" s="110"/>
      <c r="W19" s="110"/>
      <c r="X19" s="110"/>
      <c r="Y19" s="110"/>
      <c r="Z19" s="110"/>
      <c r="AA19" s="110"/>
      <c r="AB19" s="113">
        <f t="shared" si="1"/>
        <v>124.9</v>
      </c>
      <c r="AC19" s="110">
        <f t="shared" si="2"/>
        <v>19.248835125425</v>
      </c>
      <c r="AD19" s="110">
        <f t="shared" si="3"/>
        <v>31.225000000000001</v>
      </c>
      <c r="AE19" s="110">
        <f t="shared" si="4"/>
        <v>11.976164874575002</v>
      </c>
    </row>
    <row r="20" spans="1:45" x14ac:dyDescent="0.25">
      <c r="B20" t="s">
        <v>146</v>
      </c>
      <c r="C20" s="110"/>
      <c r="D20" s="110"/>
      <c r="E20" s="110"/>
      <c r="F20" s="110"/>
      <c r="G20" s="110"/>
      <c r="H20" s="110"/>
      <c r="I20" s="110">
        <v>1</v>
      </c>
      <c r="J20" s="110">
        <v>1</v>
      </c>
      <c r="K20" s="110">
        <v>1</v>
      </c>
      <c r="L20" s="110">
        <v>1</v>
      </c>
      <c r="M20" s="110">
        <v>1</v>
      </c>
      <c r="N20" s="110">
        <v>1</v>
      </c>
      <c r="O20" s="113">
        <f t="shared" si="0"/>
        <v>6</v>
      </c>
      <c r="P20" s="110">
        <v>1</v>
      </c>
      <c r="Q20" s="110">
        <v>1</v>
      </c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3">
        <f t="shared" si="1"/>
        <v>2</v>
      </c>
      <c r="AC20" s="110">
        <f t="shared" si="2"/>
        <v>0.5</v>
      </c>
      <c r="AD20" s="110">
        <f t="shared" si="3"/>
        <v>0.5</v>
      </c>
      <c r="AE20" s="110">
        <f t="shared" si="4"/>
        <v>0</v>
      </c>
    </row>
    <row r="21" spans="1:45" x14ac:dyDescent="0.25">
      <c r="A21" s="114" t="s">
        <v>143</v>
      </c>
      <c r="B21" s="114"/>
      <c r="C21" s="115">
        <f>+SUM(C16:C20)</f>
        <v>278.13870967719998</v>
      </c>
      <c r="D21" s="115">
        <f t="shared" ref="D21:N21" si="11">+SUM(D16:D20)</f>
        <v>271.61034482759999</v>
      </c>
      <c r="E21" s="115">
        <f t="shared" si="11"/>
        <v>275.65483870930001</v>
      </c>
      <c r="F21" s="115">
        <f t="shared" si="11"/>
        <v>280.99999999990001</v>
      </c>
      <c r="G21" s="115">
        <f t="shared" si="11"/>
        <v>293.15483870999998</v>
      </c>
      <c r="H21" s="115">
        <f t="shared" si="11"/>
        <v>297.46666666700003</v>
      </c>
      <c r="I21" s="115">
        <f t="shared" si="11"/>
        <v>346.2354838713</v>
      </c>
      <c r="J21" s="115">
        <f t="shared" si="11"/>
        <v>370.88064516110001</v>
      </c>
      <c r="K21" s="115">
        <f t="shared" si="11"/>
        <v>325.56666666679996</v>
      </c>
      <c r="L21" s="115">
        <f t="shared" si="11"/>
        <v>326.18709677469997</v>
      </c>
      <c r="M21" s="115">
        <f t="shared" si="11"/>
        <v>333.96666666649998</v>
      </c>
      <c r="N21" s="115">
        <f t="shared" si="11"/>
        <v>338.10645161299999</v>
      </c>
      <c r="O21" s="116">
        <f t="shared" si="0"/>
        <v>3737.9684093443993</v>
      </c>
      <c r="P21" s="115">
        <f>+SUM(P16:P20)</f>
        <v>337.29999999990002</v>
      </c>
      <c r="Q21" s="115">
        <f t="shared" ref="Q21:AA21" si="12">+SUM(Q16:Q20)</f>
        <v>351.51428571460002</v>
      </c>
      <c r="R21" s="115">
        <f t="shared" si="12"/>
        <v>359.25161290310001</v>
      </c>
      <c r="S21" s="115">
        <f t="shared" si="12"/>
        <v>355.69047633349999</v>
      </c>
      <c r="T21" s="115">
        <f t="shared" si="12"/>
        <v>0</v>
      </c>
      <c r="U21" s="115">
        <f t="shared" si="12"/>
        <v>0</v>
      </c>
      <c r="V21" s="115">
        <f t="shared" si="12"/>
        <v>0</v>
      </c>
      <c r="W21" s="115">
        <f t="shared" si="12"/>
        <v>0</v>
      </c>
      <c r="X21" s="115">
        <f t="shared" si="12"/>
        <v>0</v>
      </c>
      <c r="Y21" s="115">
        <f t="shared" si="12"/>
        <v>0</v>
      </c>
      <c r="Z21" s="115">
        <f t="shared" si="12"/>
        <v>0</v>
      </c>
      <c r="AA21" s="115">
        <f t="shared" si="12"/>
        <v>0</v>
      </c>
      <c r="AB21" s="115">
        <f t="shared" si="1"/>
        <v>1403.7563749511</v>
      </c>
      <c r="AC21" s="115">
        <f t="shared" si="2"/>
        <v>311.49736744536659</v>
      </c>
      <c r="AD21" s="115">
        <f t="shared" si="3"/>
        <v>350.93909373777501</v>
      </c>
      <c r="AE21" s="115">
        <f t="shared" si="4"/>
        <v>39.441726292408418</v>
      </c>
    </row>
    <row r="22" spans="1:45" x14ac:dyDescent="0.25">
      <c r="A22" t="s">
        <v>144</v>
      </c>
      <c r="B22" t="s">
        <v>147</v>
      </c>
      <c r="C22" s="110">
        <v>2</v>
      </c>
      <c r="D22" s="110">
        <v>2</v>
      </c>
      <c r="E22" s="110">
        <v>2</v>
      </c>
      <c r="F22" s="110">
        <v>2</v>
      </c>
      <c r="G22" s="110">
        <v>2</v>
      </c>
      <c r="H22" s="110">
        <v>2</v>
      </c>
      <c r="I22" s="110">
        <v>1.8709677418999999</v>
      </c>
      <c r="J22" s="110">
        <v>1</v>
      </c>
      <c r="K22" s="110">
        <v>1.9666666666999999</v>
      </c>
      <c r="L22" s="110">
        <v>2</v>
      </c>
      <c r="M22" s="110">
        <v>2</v>
      </c>
      <c r="N22" s="110">
        <v>2</v>
      </c>
      <c r="O22" s="113">
        <f t="shared" si="0"/>
        <v>22.8376344086</v>
      </c>
      <c r="P22" s="110">
        <v>2</v>
      </c>
      <c r="Q22" s="110">
        <v>2</v>
      </c>
      <c r="R22" s="110">
        <v>2</v>
      </c>
      <c r="S22" s="110">
        <v>2</v>
      </c>
      <c r="T22" s="110"/>
      <c r="U22" s="110"/>
      <c r="V22" s="110"/>
      <c r="W22" s="110"/>
      <c r="X22" s="110"/>
      <c r="Y22" s="110"/>
      <c r="Z22" s="110"/>
      <c r="AA22" s="110"/>
      <c r="AB22" s="113">
        <f t="shared" si="1"/>
        <v>8</v>
      </c>
      <c r="AC22" s="110">
        <f t="shared" si="2"/>
        <v>1.9031362007166666</v>
      </c>
      <c r="AD22" s="110">
        <f t="shared" si="3"/>
        <v>2</v>
      </c>
      <c r="AE22" s="110">
        <f t="shared" si="4"/>
        <v>9.686379928333344E-2</v>
      </c>
    </row>
    <row r="23" spans="1:45" x14ac:dyDescent="0.25">
      <c r="A23" s="114" t="s">
        <v>145</v>
      </c>
      <c r="B23" s="114"/>
      <c r="C23" s="115">
        <f>+C22</f>
        <v>2</v>
      </c>
      <c r="D23" s="115">
        <f t="shared" ref="D23:N23" si="13">+D22</f>
        <v>2</v>
      </c>
      <c r="E23" s="115">
        <f t="shared" si="13"/>
        <v>2</v>
      </c>
      <c r="F23" s="115">
        <f t="shared" si="13"/>
        <v>2</v>
      </c>
      <c r="G23" s="115">
        <f t="shared" si="13"/>
        <v>2</v>
      </c>
      <c r="H23" s="115">
        <f t="shared" si="13"/>
        <v>2</v>
      </c>
      <c r="I23" s="115">
        <f t="shared" si="13"/>
        <v>1.8709677418999999</v>
      </c>
      <c r="J23" s="115">
        <f t="shared" si="13"/>
        <v>1</v>
      </c>
      <c r="K23" s="115">
        <f t="shared" si="13"/>
        <v>1.9666666666999999</v>
      </c>
      <c r="L23" s="115">
        <f t="shared" si="13"/>
        <v>2</v>
      </c>
      <c r="M23" s="115">
        <f t="shared" si="13"/>
        <v>2</v>
      </c>
      <c r="N23" s="115">
        <f t="shared" si="13"/>
        <v>2</v>
      </c>
      <c r="O23" s="116">
        <f t="shared" si="0"/>
        <v>22.8376344086</v>
      </c>
      <c r="P23" s="115">
        <f>+P22</f>
        <v>2</v>
      </c>
      <c r="Q23" s="115">
        <f t="shared" ref="Q23:AA23" si="14">+Q22</f>
        <v>2</v>
      </c>
      <c r="R23" s="115">
        <f t="shared" si="14"/>
        <v>2</v>
      </c>
      <c r="S23" s="115">
        <f t="shared" si="14"/>
        <v>2</v>
      </c>
      <c r="T23" s="115">
        <f t="shared" si="14"/>
        <v>0</v>
      </c>
      <c r="U23" s="115">
        <f t="shared" si="14"/>
        <v>0</v>
      </c>
      <c r="V23" s="115">
        <f t="shared" si="14"/>
        <v>0</v>
      </c>
      <c r="W23" s="115">
        <f t="shared" si="14"/>
        <v>0</v>
      </c>
      <c r="X23" s="115">
        <f t="shared" si="14"/>
        <v>0</v>
      </c>
      <c r="Y23" s="115">
        <f t="shared" si="14"/>
        <v>0</v>
      </c>
      <c r="Z23" s="115">
        <f t="shared" si="14"/>
        <v>0</v>
      </c>
      <c r="AA23" s="115">
        <f t="shared" si="14"/>
        <v>0</v>
      </c>
      <c r="AB23" s="115">
        <f t="shared" si="1"/>
        <v>8</v>
      </c>
      <c r="AC23" s="115">
        <f t="shared" si="2"/>
        <v>1.9031362007166666</v>
      </c>
      <c r="AD23" s="115">
        <f t="shared" si="3"/>
        <v>2</v>
      </c>
      <c r="AE23" s="115">
        <f t="shared" si="4"/>
        <v>9.686379928333344E-2</v>
      </c>
    </row>
    <row r="24" spans="1:45" s="122" customFormat="1" x14ac:dyDescent="0.25">
      <c r="A24" s="128" t="s">
        <v>81</v>
      </c>
      <c r="B24" s="129"/>
      <c r="C24" s="121">
        <f>+C23+C21</f>
        <v>280.13870967719998</v>
      </c>
      <c r="D24" s="121">
        <f t="shared" ref="D24:N24" si="15">+D23+D21</f>
        <v>273.61034482759999</v>
      </c>
      <c r="E24" s="121">
        <f t="shared" si="15"/>
        <v>277.65483870930001</v>
      </c>
      <c r="F24" s="121">
        <f t="shared" si="15"/>
        <v>282.99999999990001</v>
      </c>
      <c r="G24" s="121">
        <f t="shared" si="15"/>
        <v>295.15483870999998</v>
      </c>
      <c r="H24" s="121">
        <f t="shared" si="15"/>
        <v>299.46666666700003</v>
      </c>
      <c r="I24" s="121">
        <f t="shared" si="15"/>
        <v>348.10645161320002</v>
      </c>
      <c r="J24" s="121">
        <f t="shared" si="15"/>
        <v>371.88064516110001</v>
      </c>
      <c r="K24" s="121">
        <f t="shared" si="15"/>
        <v>327.53333333349997</v>
      </c>
      <c r="L24" s="121">
        <f t="shared" si="15"/>
        <v>328.18709677469997</v>
      </c>
      <c r="M24" s="121">
        <f t="shared" si="15"/>
        <v>335.96666666649998</v>
      </c>
      <c r="N24" s="121">
        <f t="shared" si="15"/>
        <v>340.10645161299999</v>
      </c>
      <c r="O24" s="121">
        <f>+SUM(C24:N24)</f>
        <v>3760.8060437529994</v>
      </c>
      <c r="P24" s="121">
        <f>+P23+P21</f>
        <v>339.29999999990002</v>
      </c>
      <c r="Q24" s="121">
        <f t="shared" ref="Q24:AA24" si="16">+Q23+Q21</f>
        <v>353.51428571460002</v>
      </c>
      <c r="R24" s="121">
        <f t="shared" si="16"/>
        <v>361.25161290310001</v>
      </c>
      <c r="S24" s="121">
        <f t="shared" si="16"/>
        <v>357.69047633349999</v>
      </c>
      <c r="T24" s="121">
        <f t="shared" si="16"/>
        <v>0</v>
      </c>
      <c r="U24" s="121">
        <f t="shared" si="16"/>
        <v>0</v>
      </c>
      <c r="V24" s="121">
        <f t="shared" si="16"/>
        <v>0</v>
      </c>
      <c r="W24" s="121">
        <f t="shared" si="16"/>
        <v>0</v>
      </c>
      <c r="X24" s="121">
        <f t="shared" si="16"/>
        <v>0</v>
      </c>
      <c r="Y24" s="121">
        <f t="shared" si="16"/>
        <v>0</v>
      </c>
      <c r="Z24" s="121">
        <f t="shared" si="16"/>
        <v>0</v>
      </c>
      <c r="AA24" s="121">
        <f t="shared" si="16"/>
        <v>0</v>
      </c>
      <c r="AB24" s="121">
        <f t="shared" si="1"/>
        <v>1411.7563749511</v>
      </c>
      <c r="AC24" s="121">
        <f t="shared" si="2"/>
        <v>313.40050364608328</v>
      </c>
      <c r="AD24" s="121">
        <f t="shared" si="3"/>
        <v>352.93909373777501</v>
      </c>
      <c r="AE24" s="121">
        <f t="shared" si="4"/>
        <v>39.538590091691731</v>
      </c>
    </row>
    <row r="25" spans="1:45" s="119" customFormat="1" x14ac:dyDescent="0.25">
      <c r="A25" s="117" t="s">
        <v>82</v>
      </c>
      <c r="B25" s="117"/>
      <c r="C25" s="118">
        <f>+C15+C24</f>
        <v>1957.1201906128001</v>
      </c>
      <c r="D25" s="118">
        <f t="shared" ref="D25:N25" si="17">+D15+D24</f>
        <v>1965.1932083447</v>
      </c>
      <c r="E25" s="118">
        <f t="shared" si="17"/>
        <v>1971.7653521932002</v>
      </c>
      <c r="F25" s="118">
        <f t="shared" si="17"/>
        <v>1979.0785779998</v>
      </c>
      <c r="G25" s="118">
        <f t="shared" si="17"/>
        <v>1989.6504676453997</v>
      </c>
      <c r="H25" s="118">
        <f t="shared" si="17"/>
        <v>1995.9928639002001</v>
      </c>
      <c r="I25" s="118">
        <f t="shared" si="17"/>
        <v>2047.4292693873999</v>
      </c>
      <c r="J25" s="118">
        <f t="shared" si="17"/>
        <v>2067.1389468062998</v>
      </c>
      <c r="K25" s="118">
        <f t="shared" si="17"/>
        <v>2022.6833401666997</v>
      </c>
      <c r="L25" s="118">
        <f t="shared" si="17"/>
        <v>2019.2947073553999</v>
      </c>
      <c r="M25" s="118">
        <f t="shared" si="17"/>
        <v>2024.0166738332</v>
      </c>
      <c r="N25" s="118">
        <f t="shared" si="17"/>
        <v>2023.7218965485001</v>
      </c>
      <c r="O25" s="118">
        <f>+SUM(C25:N25)</f>
        <v>24063.085494793599</v>
      </c>
      <c r="P25" s="118">
        <f>+P24+P15</f>
        <v>2020.2519425805999</v>
      </c>
      <c r="Q25" s="118">
        <f t="shared" ref="Q25:AA25" si="18">+Q24+Q15</f>
        <v>2087.2724565017002</v>
      </c>
      <c r="R25" s="118">
        <f t="shared" si="18"/>
        <v>2100.4391317095997</v>
      </c>
      <c r="S25" s="118">
        <f t="shared" si="18"/>
        <v>2090.2714360002001</v>
      </c>
      <c r="T25" s="118">
        <f t="shared" si="18"/>
        <v>0</v>
      </c>
      <c r="U25" s="118">
        <f t="shared" si="18"/>
        <v>0</v>
      </c>
      <c r="V25" s="118">
        <f t="shared" si="18"/>
        <v>0</v>
      </c>
      <c r="W25" s="118">
        <f t="shared" si="18"/>
        <v>0</v>
      </c>
      <c r="X25" s="118">
        <f t="shared" si="18"/>
        <v>0</v>
      </c>
      <c r="Y25" s="118">
        <f t="shared" si="18"/>
        <v>0</v>
      </c>
      <c r="Z25" s="118">
        <f t="shared" si="18"/>
        <v>0</v>
      </c>
      <c r="AA25" s="118">
        <f t="shared" si="18"/>
        <v>0</v>
      </c>
      <c r="AB25" s="118">
        <f t="shared" si="1"/>
        <v>8298.2349667921007</v>
      </c>
      <c r="AC25" s="118">
        <f t="shared" si="2"/>
        <v>2005.2571245661331</v>
      </c>
      <c r="AD25" s="118">
        <f t="shared" si="3"/>
        <v>2074.5587416980252</v>
      </c>
      <c r="AE25" s="118">
        <f t="shared" si="4"/>
        <v>69.301617131892044</v>
      </c>
    </row>
    <row r="26" spans="1:45" x14ac:dyDescent="0.25">
      <c r="A26" t="s">
        <v>148</v>
      </c>
      <c r="B26" t="s">
        <v>158</v>
      </c>
      <c r="C26" s="110">
        <v>6</v>
      </c>
      <c r="D26" s="110">
        <v>6</v>
      </c>
      <c r="E26" s="110">
        <v>6.3548387097000001</v>
      </c>
      <c r="F26" s="110">
        <v>7.5666666666999998</v>
      </c>
      <c r="G26" s="110">
        <v>7</v>
      </c>
      <c r="H26" s="110">
        <v>6.0666666666999998</v>
      </c>
      <c r="I26" s="110">
        <v>6</v>
      </c>
      <c r="J26" s="110">
        <v>6</v>
      </c>
      <c r="K26" s="110">
        <v>6.9666666667000001</v>
      </c>
      <c r="L26" s="110">
        <v>7</v>
      </c>
      <c r="M26" s="110">
        <v>11.833333333500001</v>
      </c>
      <c r="N26" s="110">
        <v>12</v>
      </c>
      <c r="O26" s="113">
        <f t="shared" si="0"/>
        <v>88.788172043299994</v>
      </c>
      <c r="P26" s="108">
        <v>11</v>
      </c>
      <c r="Q26" s="110">
        <v>11</v>
      </c>
      <c r="R26" s="110">
        <v>11</v>
      </c>
      <c r="S26" s="110">
        <v>11.4666666667</v>
      </c>
      <c r="T26" s="110"/>
      <c r="U26" s="110"/>
      <c r="V26" s="110"/>
      <c r="W26" s="110"/>
      <c r="X26" s="110"/>
      <c r="Y26" s="110"/>
      <c r="Z26" s="110"/>
      <c r="AA26" s="110"/>
      <c r="AB26" s="113">
        <f t="shared" si="1"/>
        <v>44.4666666667</v>
      </c>
      <c r="AC26" s="110">
        <f t="shared" si="2"/>
        <v>7.3990143369416659</v>
      </c>
      <c r="AD26" s="110">
        <f t="shared" si="3"/>
        <v>11.116666666675</v>
      </c>
      <c r="AE26" s="110">
        <f t="shared" si="4"/>
        <v>3.7176523297333341</v>
      </c>
    </row>
    <row r="27" spans="1:45" x14ac:dyDescent="0.25">
      <c r="A27" s="70" t="s">
        <v>149</v>
      </c>
      <c r="B27" t="s">
        <v>159</v>
      </c>
      <c r="C27" s="108">
        <v>22.5</v>
      </c>
      <c r="D27" s="108">
        <v>21.5</v>
      </c>
      <c r="E27" s="108">
        <v>21.145161290299999</v>
      </c>
      <c r="F27" s="108">
        <v>19.5</v>
      </c>
      <c r="G27" s="108">
        <v>36.112903226</v>
      </c>
      <c r="H27" s="108">
        <v>42.099999999600001</v>
      </c>
      <c r="I27" s="108">
        <v>67.112903225899998</v>
      </c>
      <c r="J27" s="108">
        <v>66.467741935700005</v>
      </c>
      <c r="K27" s="108">
        <v>53.600000000199998</v>
      </c>
      <c r="L27" s="108">
        <v>38.693548387200003</v>
      </c>
      <c r="M27" s="108">
        <v>36.650000000200002</v>
      </c>
      <c r="N27" s="108">
        <v>37.935483871000002</v>
      </c>
      <c r="O27" s="113">
        <f t="shared" si="0"/>
        <v>463.31774193609999</v>
      </c>
      <c r="P27" s="124">
        <v>39.354838709699997</v>
      </c>
      <c r="Q27" s="124">
        <v>41.928571428600002</v>
      </c>
      <c r="R27" s="124">
        <v>41.967741935500001</v>
      </c>
      <c r="S27" s="124">
        <v>39</v>
      </c>
      <c r="T27" s="124"/>
      <c r="U27" s="124"/>
      <c r="V27" s="124"/>
      <c r="W27" s="124"/>
      <c r="X27" s="124"/>
      <c r="Y27" s="124"/>
      <c r="Z27" s="124"/>
      <c r="AA27" s="124"/>
      <c r="AB27" s="113">
        <f t="shared" si="1"/>
        <v>162.2511520738</v>
      </c>
      <c r="AC27" s="124">
        <f t="shared" si="2"/>
        <v>38.609811828008333</v>
      </c>
      <c r="AD27" s="124">
        <f t="shared" si="3"/>
        <v>40.56278801845</v>
      </c>
      <c r="AE27" s="124">
        <f t="shared" si="4"/>
        <v>1.9529761904416674</v>
      </c>
    </row>
    <row r="28" spans="1:45" x14ac:dyDescent="0.25">
      <c r="B28" t="s">
        <v>156</v>
      </c>
      <c r="C28" s="108">
        <v>2</v>
      </c>
      <c r="D28" s="108">
        <v>2</v>
      </c>
      <c r="E28" s="108">
        <v>2</v>
      </c>
      <c r="F28" s="108">
        <v>2</v>
      </c>
      <c r="G28" s="108">
        <v>2</v>
      </c>
      <c r="H28" s="108">
        <v>2</v>
      </c>
      <c r="I28" s="108">
        <v>2</v>
      </c>
      <c r="J28" s="108">
        <v>2</v>
      </c>
      <c r="K28" s="108">
        <v>2</v>
      </c>
      <c r="L28" s="108">
        <v>1.4516129032</v>
      </c>
      <c r="M28" s="108">
        <v>0.6</v>
      </c>
      <c r="N28" s="108"/>
      <c r="O28" s="113">
        <f t="shared" si="0"/>
        <v>20.051612903200002</v>
      </c>
      <c r="P28" s="108"/>
      <c r="Q28" s="108"/>
      <c r="R28" s="108"/>
      <c r="S28" s="108">
        <v>2.9666666667000001</v>
      </c>
      <c r="T28" s="108"/>
      <c r="U28" s="108"/>
      <c r="V28" s="108"/>
      <c r="W28" s="108"/>
      <c r="X28" s="108"/>
      <c r="Y28" s="108"/>
      <c r="Z28" s="108"/>
      <c r="AA28" s="108"/>
      <c r="AB28" s="113">
        <f t="shared" si="1"/>
        <v>2.9666666667000001</v>
      </c>
      <c r="AC28" s="108">
        <f t="shared" si="2"/>
        <v>1.6709677419333335</v>
      </c>
      <c r="AD28" s="108">
        <f t="shared" si="3"/>
        <v>0.74166666667500003</v>
      </c>
      <c r="AE28" s="108">
        <f t="shared" si="4"/>
        <v>-0.9293010752583335</v>
      </c>
    </row>
    <row r="29" spans="1:45" x14ac:dyDescent="0.25">
      <c r="B29" t="s">
        <v>160</v>
      </c>
      <c r="C29" s="108">
        <v>6.48</v>
      </c>
      <c r="D29" s="108">
        <v>6.1937931035</v>
      </c>
      <c r="E29" s="108">
        <v>5.68</v>
      </c>
      <c r="F29" s="108">
        <v>5.68</v>
      </c>
      <c r="G29" s="108">
        <v>5.68</v>
      </c>
      <c r="H29" s="108">
        <v>5.68</v>
      </c>
      <c r="I29" s="108">
        <v>5.68</v>
      </c>
      <c r="J29" s="108">
        <v>5.68</v>
      </c>
      <c r="K29" s="108">
        <v>5.6066666665999998</v>
      </c>
      <c r="L29" s="108">
        <v>5.58</v>
      </c>
      <c r="M29" s="108">
        <v>5.58</v>
      </c>
      <c r="N29" s="108">
        <v>5.58</v>
      </c>
      <c r="O29" s="113">
        <f t="shared" si="0"/>
        <v>69.100459770100002</v>
      </c>
      <c r="P29" s="108">
        <v>4.9800000000000004</v>
      </c>
      <c r="Q29" s="108">
        <v>4.95</v>
      </c>
      <c r="R29" s="108">
        <v>4.95</v>
      </c>
      <c r="S29" s="108">
        <v>4.95</v>
      </c>
      <c r="T29" s="108"/>
      <c r="U29" s="108"/>
      <c r="V29" s="108"/>
      <c r="W29" s="108"/>
      <c r="X29" s="108"/>
      <c r="Y29" s="108"/>
      <c r="Z29" s="108"/>
      <c r="AA29" s="108"/>
      <c r="AB29" s="113"/>
      <c r="AC29" s="108"/>
      <c r="AD29" s="108"/>
      <c r="AE29" s="108"/>
    </row>
    <row r="30" spans="1:45" x14ac:dyDescent="0.25">
      <c r="B30" t="s">
        <v>161</v>
      </c>
      <c r="C30" s="108">
        <v>144.24032258060001</v>
      </c>
      <c r="D30" s="108">
        <v>142.8293103451</v>
      </c>
      <c r="E30" s="108">
        <v>143.26612903220001</v>
      </c>
      <c r="F30" s="108">
        <v>143.96333333339999</v>
      </c>
      <c r="G30" s="108">
        <v>147.88870967739999</v>
      </c>
      <c r="H30" s="108">
        <v>147.8966666668</v>
      </c>
      <c r="I30" s="108">
        <v>148.8241935481</v>
      </c>
      <c r="J30" s="108">
        <v>145.1499999998</v>
      </c>
      <c r="K30" s="108">
        <v>147.35333333329999</v>
      </c>
      <c r="L30" s="108">
        <v>147.564516129</v>
      </c>
      <c r="M30" s="108">
        <v>149.8666666668</v>
      </c>
      <c r="N30" s="108">
        <v>152.74516129060001</v>
      </c>
      <c r="O30" s="113">
        <f t="shared" si="0"/>
        <v>1761.5883426031</v>
      </c>
      <c r="P30" s="108">
        <v>152.58387096749999</v>
      </c>
      <c r="Q30" s="108">
        <v>158.06071428569999</v>
      </c>
      <c r="R30" s="108">
        <v>159.04516129020001</v>
      </c>
      <c r="S30" s="108">
        <v>158.3966666666</v>
      </c>
      <c r="T30" s="108"/>
      <c r="U30" s="108"/>
      <c r="V30" s="108"/>
      <c r="W30" s="108"/>
      <c r="X30" s="108"/>
      <c r="Y30" s="108"/>
      <c r="Z30" s="108"/>
      <c r="AA30" s="108"/>
      <c r="AB30" s="113">
        <f t="shared" si="1"/>
        <v>628.08641321000005</v>
      </c>
      <c r="AC30" s="108">
        <f t="shared" si="2"/>
        <v>146.79902855025833</v>
      </c>
      <c r="AD30" s="108">
        <f t="shared" si="3"/>
        <v>157.02160330250001</v>
      </c>
      <c r="AE30" s="108">
        <f t="shared" si="4"/>
        <v>10.222574752241684</v>
      </c>
    </row>
    <row r="31" spans="1:45" s="119" customFormat="1" x14ac:dyDescent="0.25">
      <c r="A31" s="117" t="s">
        <v>80</v>
      </c>
      <c r="B31" s="117"/>
      <c r="C31" s="118">
        <f>+SUM(C26:C30)</f>
        <v>181.2203225806</v>
      </c>
      <c r="D31" s="118">
        <f t="shared" ref="D31:N31" si="19">+SUM(D26:D30)</f>
        <v>178.52310344860001</v>
      </c>
      <c r="E31" s="118">
        <f t="shared" si="19"/>
        <v>178.44612903220002</v>
      </c>
      <c r="F31" s="118">
        <f t="shared" si="19"/>
        <v>178.7100000001</v>
      </c>
      <c r="G31" s="118">
        <f t="shared" si="19"/>
        <v>198.68161290339998</v>
      </c>
      <c r="H31" s="118">
        <f t="shared" si="19"/>
        <v>203.7433333331</v>
      </c>
      <c r="I31" s="118">
        <f t="shared" si="19"/>
        <v>229.617096774</v>
      </c>
      <c r="J31" s="118">
        <f t="shared" si="19"/>
        <v>225.2977419355</v>
      </c>
      <c r="K31" s="118">
        <f t="shared" si="19"/>
        <v>215.5266666668</v>
      </c>
      <c r="L31" s="118">
        <f t="shared" si="19"/>
        <v>200.28967741939999</v>
      </c>
      <c r="M31" s="118">
        <f t="shared" si="19"/>
        <v>204.5300000005</v>
      </c>
      <c r="N31" s="118">
        <f t="shared" si="19"/>
        <v>208.2606451616</v>
      </c>
      <c r="O31" s="118">
        <f t="shared" si="0"/>
        <v>2402.8463292557999</v>
      </c>
      <c r="P31" s="118">
        <f t="shared" ref="P31" si="20">+SUM(P26:P30)</f>
        <v>207.91870967719998</v>
      </c>
      <c r="Q31" s="118">
        <f t="shared" ref="Q31" si="21">+SUM(Q26:Q30)</f>
        <v>215.93928571429998</v>
      </c>
      <c r="R31" s="118">
        <f t="shared" ref="R31" si="22">+SUM(R26:R30)</f>
        <v>216.96290322570002</v>
      </c>
      <c r="S31" s="118">
        <f>+SUM(S26:S30)</f>
        <v>216.78</v>
      </c>
      <c r="T31" s="118">
        <f t="shared" ref="T31" si="23">+SUM(T26:T30)</f>
        <v>0</v>
      </c>
      <c r="U31" s="118">
        <f t="shared" ref="U31" si="24">+SUM(U26:U30)</f>
        <v>0</v>
      </c>
      <c r="V31" s="118">
        <f t="shared" ref="V31" si="25">+SUM(V26:V30)</f>
        <v>0</v>
      </c>
      <c r="W31" s="118">
        <f t="shared" ref="W31" si="26">+SUM(W26:W30)</f>
        <v>0</v>
      </c>
      <c r="X31" s="118">
        <f t="shared" ref="X31" si="27">+SUM(X26:X30)</f>
        <v>0</v>
      </c>
      <c r="Y31" s="118">
        <f t="shared" ref="Y31" si="28">+SUM(Y26:Y30)</f>
        <v>0</v>
      </c>
      <c r="Z31" s="118">
        <f t="shared" ref="Z31" si="29">+SUM(Z26:Z30)</f>
        <v>0</v>
      </c>
      <c r="AA31" s="118">
        <f t="shared" ref="AA31" si="30">+SUM(AA26:AA30)</f>
        <v>0</v>
      </c>
      <c r="AB31" s="118">
        <f t="shared" si="1"/>
        <v>857.60089861719996</v>
      </c>
      <c r="AC31" s="118">
        <f t="shared" si="2"/>
        <v>200.23719410465</v>
      </c>
      <c r="AD31" s="118">
        <f t="shared" si="3"/>
        <v>214.40022465429999</v>
      </c>
      <c r="AE31" s="118">
        <f t="shared" si="4"/>
        <v>14.163030549649989</v>
      </c>
    </row>
    <row r="32" spans="1:45" x14ac:dyDescent="0.25">
      <c r="A32" s="125" t="s">
        <v>83</v>
      </c>
      <c r="B32" s="125"/>
      <c r="C32" s="109">
        <f>+C25+C31</f>
        <v>2138.3405131934001</v>
      </c>
      <c r="D32" s="109">
        <f t="shared" ref="D32:N32" si="31">+D25+D31</f>
        <v>2143.7163117933001</v>
      </c>
      <c r="E32" s="109">
        <f t="shared" si="31"/>
        <v>2150.2114812254003</v>
      </c>
      <c r="F32" s="109">
        <f t="shared" si="31"/>
        <v>2157.7885779999001</v>
      </c>
      <c r="G32" s="109">
        <f t="shared" si="31"/>
        <v>2188.3320805487997</v>
      </c>
      <c r="H32" s="109">
        <f t="shared" si="31"/>
        <v>2199.7361972333001</v>
      </c>
      <c r="I32" s="109">
        <f t="shared" si="31"/>
        <v>2277.0463661613999</v>
      </c>
      <c r="J32" s="109">
        <f t="shared" si="31"/>
        <v>2292.4366887418</v>
      </c>
      <c r="K32" s="109">
        <f t="shared" si="31"/>
        <v>2238.2100068334998</v>
      </c>
      <c r="L32" s="109">
        <f t="shared" si="31"/>
        <v>2219.5843847747997</v>
      </c>
      <c r="M32" s="109">
        <f t="shared" si="31"/>
        <v>2228.5466738337</v>
      </c>
      <c r="N32" s="109">
        <f t="shared" si="31"/>
        <v>2231.9825417101001</v>
      </c>
      <c r="O32" s="109">
        <f>+SUM(C32:N32)</f>
        <v>26465.931824049403</v>
      </c>
      <c r="P32" s="109">
        <f>+P31+P25</f>
        <v>2228.1706522577997</v>
      </c>
      <c r="Q32" s="109">
        <f t="shared" ref="Q32:AA32" si="32">+Q31+Q25</f>
        <v>2303.2117422159999</v>
      </c>
      <c r="R32" s="109">
        <f t="shared" si="32"/>
        <v>2317.4020349352995</v>
      </c>
      <c r="S32" s="109">
        <f t="shared" si="32"/>
        <v>2307.0514360002003</v>
      </c>
      <c r="T32" s="109">
        <f t="shared" si="32"/>
        <v>0</v>
      </c>
      <c r="U32" s="109">
        <f t="shared" si="32"/>
        <v>0</v>
      </c>
      <c r="V32" s="109">
        <f t="shared" si="32"/>
        <v>0</v>
      </c>
      <c r="W32" s="109">
        <f t="shared" si="32"/>
        <v>0</v>
      </c>
      <c r="X32" s="109">
        <f t="shared" si="32"/>
        <v>0</v>
      </c>
      <c r="Y32" s="109">
        <f t="shared" si="32"/>
        <v>0</v>
      </c>
      <c r="Z32" s="109">
        <f t="shared" si="32"/>
        <v>0</v>
      </c>
      <c r="AA32" s="109">
        <f t="shared" si="32"/>
        <v>0</v>
      </c>
      <c r="AB32" s="109">
        <f>+SUM(P32:S32)</f>
        <v>9155.835865409299</v>
      </c>
      <c r="AC32" s="109">
        <f>+O32/12</f>
        <v>2205.4943186707837</v>
      </c>
      <c r="AD32" s="109">
        <f>+AB32/4</f>
        <v>2288.9589663523248</v>
      </c>
      <c r="AE32" s="109">
        <f>+AD32-AC32</f>
        <v>83.46464768154101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137.21983666666668</v>
      </c>
      <c r="AO32" s="120">
        <v>1646.6380400000003</v>
      </c>
      <c r="AP32" s="120">
        <v>436.35125368055554</v>
      </c>
      <c r="AQ32" s="120">
        <v>-1763.9818700000001</v>
      </c>
      <c r="AR32" s="120">
        <v>-1210.2867863194447</v>
      </c>
      <c r="AS32" s="120">
        <v>0</v>
      </c>
    </row>
  </sheetData>
  <mergeCells count="10">
    <mergeCell ref="G1:AE1"/>
    <mergeCell ref="AE2:AE3"/>
    <mergeCell ref="AD2:AD3"/>
    <mergeCell ref="A24:B24"/>
    <mergeCell ref="A32:B32"/>
    <mergeCell ref="AC2:AC3"/>
    <mergeCell ref="A15:B15"/>
    <mergeCell ref="A2:B3"/>
    <mergeCell ref="C2:N2"/>
    <mergeCell ref="P2:AA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BT51"/>
  <sheetViews>
    <sheetView zoomScale="85" zoomScaleNormal="85" workbookViewId="0">
      <selection activeCell="AS8" sqref="AS8"/>
    </sheetView>
  </sheetViews>
  <sheetFormatPr baseColWidth="10" defaultRowHeight="15" outlineLevelCol="1" x14ac:dyDescent="0.25"/>
  <cols>
    <col min="1" max="1" width="4" customWidth="1"/>
    <col min="2" max="2" width="37.7109375" style="68" customWidth="1"/>
    <col min="3" max="3" width="10.42578125" style="69" customWidth="1"/>
    <col min="4" max="4" width="8.5703125" style="69" customWidth="1"/>
    <col min="5" max="5" width="13" hidden="1" customWidth="1"/>
    <col min="6" max="17" width="14.7109375" hidden="1" customWidth="1" outlineLevel="1"/>
    <col min="18" max="18" width="14" hidden="1" customWidth="1"/>
    <col min="19" max="23" width="14.7109375" hidden="1" customWidth="1" outlineLevel="1"/>
    <col min="24" max="24" width="15.140625" hidden="1" customWidth="1" outlineLevel="1"/>
    <col min="25" max="36" width="14.7109375" hidden="1" customWidth="1" outlineLevel="1"/>
    <col min="37" max="37" width="13.85546875" hidden="1" customWidth="1" outlineLevel="1"/>
    <col min="38" max="40" width="14.7109375" hidden="1" customWidth="1" outlineLevel="1"/>
    <col min="41" max="41" width="14.7109375" customWidth="1" outlineLevel="1"/>
    <col min="42" max="42" width="14.7109375" hidden="1" customWidth="1" outlineLevel="1"/>
    <col min="43" max="43" width="14.7109375" customWidth="1" outlineLevel="1"/>
    <col min="44" max="44" width="13.5703125" hidden="1" customWidth="1"/>
    <col min="45" max="49" width="14.7109375" customWidth="1" outlineLevel="1"/>
    <col min="50" max="50" width="15.140625" customWidth="1" outlineLevel="1"/>
    <col min="51" max="62" width="14.7109375" customWidth="1" outlineLevel="1"/>
    <col min="63" max="63" width="13.85546875" customWidth="1" outlineLevel="1"/>
    <col min="64" max="67" width="14.7109375" customWidth="1" outlineLevel="1"/>
    <col min="68" max="69" width="10.7109375" customWidth="1"/>
    <col min="70" max="72" width="11.5703125" customWidth="1"/>
  </cols>
  <sheetData>
    <row r="1" spans="1:72" s="7" customFormat="1" ht="30" customHeight="1" x14ac:dyDescent="0.25">
      <c r="A1" s="1"/>
      <c r="B1" s="2" t="s">
        <v>0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4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4" t="s">
        <v>109</v>
      </c>
      <c r="AR1" s="4" t="s">
        <v>108</v>
      </c>
      <c r="AS1" s="5" t="s">
        <v>110</v>
      </c>
      <c r="AT1" s="5" t="s">
        <v>111</v>
      </c>
      <c r="AU1" s="5" t="s">
        <v>112</v>
      </c>
      <c r="AV1" s="5" t="s">
        <v>132</v>
      </c>
      <c r="AW1" s="5" t="s">
        <v>131</v>
      </c>
      <c r="AX1" s="5" t="s">
        <v>130</v>
      </c>
      <c r="AY1" s="5" t="s">
        <v>129</v>
      </c>
      <c r="AZ1" s="5" t="s">
        <v>128</v>
      </c>
      <c r="BA1" s="5" t="s">
        <v>127</v>
      </c>
      <c r="BB1" s="5" t="s">
        <v>126</v>
      </c>
      <c r="BC1" s="5" t="s">
        <v>125</v>
      </c>
      <c r="BD1" s="5" t="s">
        <v>124</v>
      </c>
      <c r="BE1" s="5" t="s">
        <v>123</v>
      </c>
      <c r="BF1" s="5" t="s">
        <v>122</v>
      </c>
      <c r="BG1" s="5" t="s">
        <v>121</v>
      </c>
      <c r="BH1" s="5" t="s">
        <v>120</v>
      </c>
      <c r="BI1" s="5" t="s">
        <v>119</v>
      </c>
      <c r="BJ1" s="5" t="s">
        <v>118</v>
      </c>
      <c r="BK1" s="5" t="s">
        <v>117</v>
      </c>
      <c r="BL1" s="5" t="s">
        <v>116</v>
      </c>
      <c r="BM1" s="5" t="s">
        <v>115</v>
      </c>
      <c r="BN1" s="5" t="s">
        <v>114</v>
      </c>
      <c r="BO1" s="5" t="s">
        <v>113</v>
      </c>
      <c r="BP1" s="4" t="s">
        <v>41</v>
      </c>
      <c r="BQ1" s="6" t="s">
        <v>42</v>
      </c>
    </row>
    <row r="2" spans="1:72" ht="15.75" customHeight="1" x14ac:dyDescent="0.25">
      <c r="A2" s="133" t="s">
        <v>43</v>
      </c>
      <c r="B2" s="8" t="s">
        <v>44</v>
      </c>
      <c r="C2" s="9" t="s">
        <v>45</v>
      </c>
      <c r="D2" s="9" t="s">
        <v>46</v>
      </c>
      <c r="E2" s="10">
        <f>+[1]!\projection_détaillée_CRPP\C_T1\REAL_N_1</f>
        <v>97337631.792000026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0">
        <f>R4+R5</f>
        <v>96663875</v>
      </c>
      <c r="S2" s="10">
        <f>S4+S5</f>
        <v>8035083.71</v>
      </c>
      <c r="T2" s="10">
        <f>$AR$2*F3</f>
        <v>0</v>
      </c>
      <c r="U2" s="10">
        <f>U4+U5</f>
        <v>7463363.79</v>
      </c>
      <c r="V2" s="10">
        <f>$AR$2*G3</f>
        <v>0</v>
      </c>
      <c r="W2" s="10">
        <f>W4+W5</f>
        <v>9183173.2300000004</v>
      </c>
      <c r="X2" s="10">
        <f>$AR$2*H3</f>
        <v>0</v>
      </c>
      <c r="Y2" s="10">
        <f>Y4+Y5</f>
        <v>8089453.8200000003</v>
      </c>
      <c r="Z2" s="10">
        <f>$AR$2*I3</f>
        <v>0</v>
      </c>
      <c r="AA2" s="10">
        <f>AA4+AA5</f>
        <v>7836937.5899999999</v>
      </c>
      <c r="AB2" s="10">
        <f>$AR$2*J3</f>
        <v>0</v>
      </c>
      <c r="AC2" s="10">
        <f>AC4+AC5</f>
        <v>7816884.9935500193</v>
      </c>
      <c r="AD2" s="10">
        <f>$AR$2*K3</f>
        <v>0</v>
      </c>
      <c r="AE2" s="10">
        <f>+AE4+AE5</f>
        <v>7898593.6730799973</v>
      </c>
      <c r="AF2" s="10">
        <f>$AR$2*L3</f>
        <v>0</v>
      </c>
      <c r="AG2" s="10">
        <f>+AG4+AG5</f>
        <v>8255533.8654400297</v>
      </c>
      <c r="AH2" s="10">
        <f t="shared" ref="AH2:AI2" si="0">+AH4+AH5</f>
        <v>0</v>
      </c>
      <c r="AI2" s="10">
        <f t="shared" si="0"/>
        <v>8092893.37068999</v>
      </c>
      <c r="AJ2" s="10">
        <f>$AR$2*N3</f>
        <v>0</v>
      </c>
      <c r="AK2" s="10">
        <f>AK4+AK5</f>
        <v>9103908.4499600008</v>
      </c>
      <c r="AL2" s="10">
        <f>$AR$2*O3</f>
        <v>0</v>
      </c>
      <c r="AM2" s="10">
        <f t="shared" ref="AM2:AO2" si="1">AM4+AM5</f>
        <v>8729299</v>
      </c>
      <c r="AN2" s="10">
        <f>$AR$2*P3</f>
        <v>0</v>
      </c>
      <c r="AO2" s="10">
        <f t="shared" si="1"/>
        <v>10620449</v>
      </c>
      <c r="AP2" s="10">
        <f>$AR$2*Q3</f>
        <v>0</v>
      </c>
      <c r="AQ2" s="10">
        <f>S2+U2+W2+Y2+AA2+AC2+AE2+AG2+AI2+AK2+AM2+AO2</f>
        <v>101125574.49272004</v>
      </c>
      <c r="AR2" s="12">
        <v>96584651</v>
      </c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3"/>
      <c r="BQ2" s="14"/>
    </row>
    <row r="3" spans="1:72" x14ac:dyDescent="0.25">
      <c r="A3" s="133"/>
      <c r="B3" s="8" t="s">
        <v>47</v>
      </c>
      <c r="C3" s="9"/>
      <c r="D3" s="9"/>
      <c r="E3" s="10"/>
      <c r="F3" s="15">
        <f>F2/$R$2</f>
        <v>0</v>
      </c>
      <c r="G3" s="15">
        <f t="shared" ref="G3:Q3" si="2">G2/$R$2</f>
        <v>0</v>
      </c>
      <c r="H3" s="15">
        <f t="shared" si="2"/>
        <v>0</v>
      </c>
      <c r="I3" s="15">
        <f t="shared" si="2"/>
        <v>0</v>
      </c>
      <c r="J3" s="15">
        <f t="shared" si="2"/>
        <v>0</v>
      </c>
      <c r="K3" s="15">
        <f t="shared" si="2"/>
        <v>0</v>
      </c>
      <c r="L3" s="15">
        <f t="shared" si="2"/>
        <v>0</v>
      </c>
      <c r="M3" s="15">
        <f t="shared" si="2"/>
        <v>0</v>
      </c>
      <c r="N3" s="15">
        <f t="shared" si="2"/>
        <v>0</v>
      </c>
      <c r="O3" s="15">
        <f t="shared" si="2"/>
        <v>0</v>
      </c>
      <c r="P3" s="15">
        <f t="shared" si="2"/>
        <v>0</v>
      </c>
      <c r="Q3" s="15">
        <f t="shared" si="2"/>
        <v>0</v>
      </c>
      <c r="R3" s="16">
        <f>SUM(F3:Q3)</f>
        <v>0</v>
      </c>
      <c r="S3" s="15">
        <f>S2/$AR$2</f>
        <v>8.3192138986970088E-2</v>
      </c>
      <c r="T3" s="15">
        <v>0.04</v>
      </c>
      <c r="U3" s="15">
        <f t="shared" ref="U3:AE3" si="3">U2/$AR$2</f>
        <v>7.7272772772145754E-2</v>
      </c>
      <c r="V3" s="15">
        <v>0.08</v>
      </c>
      <c r="W3" s="15">
        <f t="shared" si="3"/>
        <v>9.5079012399185467E-2</v>
      </c>
      <c r="X3" s="15">
        <v>0.09</v>
      </c>
      <c r="Y3" s="15">
        <f t="shared" si="3"/>
        <v>8.3755066009401441E-2</v>
      </c>
      <c r="Z3" s="15">
        <v>0.08</v>
      </c>
      <c r="AA3" s="15">
        <f t="shared" si="3"/>
        <v>8.1140610944486408E-2</v>
      </c>
      <c r="AB3" s="15">
        <v>0.08</v>
      </c>
      <c r="AC3" s="15">
        <f t="shared" si="3"/>
        <v>8.0932994141584877E-2</v>
      </c>
      <c r="AD3" s="15">
        <v>0.08</v>
      </c>
      <c r="AE3" s="15">
        <f t="shared" si="3"/>
        <v>8.1778974105109078E-2</v>
      </c>
      <c r="AF3" s="15">
        <v>0.08</v>
      </c>
      <c r="AG3" s="15">
        <f t="shared" ref="AG3" si="4">AG2/$AR$2</f>
        <v>8.5474594358062442E-2</v>
      </c>
      <c r="AH3" s="15">
        <v>0.09</v>
      </c>
      <c r="AI3" s="15">
        <f t="shared" ref="AI3" si="5">AI2/$AR$2</f>
        <v>8.3790677782642611E-2</v>
      </c>
      <c r="AJ3" s="15">
        <v>0.08</v>
      </c>
      <c r="AK3" s="15">
        <f t="shared" ref="AK3" si="6">AK2/$AR$2</f>
        <v>9.4258335622706774E-2</v>
      </c>
      <c r="AL3" s="15">
        <v>0.09</v>
      </c>
      <c r="AM3" s="15">
        <f t="shared" ref="AM3" si="7">AM2/$AR$2</f>
        <v>9.03797747325297E-2</v>
      </c>
      <c r="AN3" s="15">
        <v>0.08</v>
      </c>
      <c r="AO3" s="15">
        <f t="shared" ref="AO3" si="8">AO2/$AR$2</f>
        <v>0.10996000803481705</v>
      </c>
      <c r="AP3" s="15">
        <v>0.11</v>
      </c>
      <c r="AQ3" s="15"/>
      <c r="AR3" s="12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3"/>
      <c r="BQ3" s="14"/>
    </row>
    <row r="4" spans="1:72" x14ac:dyDescent="0.25">
      <c r="A4" s="133"/>
      <c r="B4" s="17" t="s">
        <v>48</v>
      </c>
      <c r="C4" s="18" t="s">
        <v>45</v>
      </c>
      <c r="D4" s="19" t="s">
        <v>46</v>
      </c>
      <c r="E4" s="20">
        <v>27237244.239999998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>
        <v>71203617</v>
      </c>
      <c r="S4" s="20">
        <v>5782383.21</v>
      </c>
      <c r="T4" s="20"/>
      <c r="U4" s="20">
        <v>5780398.4900000002</v>
      </c>
      <c r="V4" s="20"/>
      <c r="W4" s="20">
        <v>6741346.9000000004</v>
      </c>
      <c r="X4" s="20"/>
      <c r="Y4" s="20">
        <v>5726406.8200000003</v>
      </c>
      <c r="Z4" s="20"/>
      <c r="AA4" s="20">
        <v>5804668.0199999996</v>
      </c>
      <c r="AB4" s="20"/>
      <c r="AC4" s="20">
        <v>5724466.2890400197</v>
      </c>
      <c r="AD4" s="20"/>
      <c r="AE4" s="20">
        <v>5746278.1893499969</v>
      </c>
      <c r="AF4" s="20"/>
      <c r="AG4" s="20">
        <v>5831452.7552800281</v>
      </c>
      <c r="AH4" s="20"/>
      <c r="AI4" s="20">
        <v>5754538.3696999904</v>
      </c>
      <c r="AJ4" s="20"/>
      <c r="AK4" s="20">
        <v>6804896.8816800006</v>
      </c>
      <c r="AL4" s="20"/>
      <c r="AM4" s="20">
        <v>5863476</v>
      </c>
      <c r="AN4" s="20"/>
      <c r="AO4" s="20">
        <v>8458775</v>
      </c>
      <c r="AP4" s="20"/>
      <c r="AQ4" s="20">
        <f>S4+U4+W4+Y4+AA4+AC4+AE4+AG4+AI4+AK4+AM4+AO4</f>
        <v>74019086.925050035</v>
      </c>
      <c r="AR4" s="20">
        <v>70989442</v>
      </c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1"/>
      <c r="BQ4" s="22"/>
    </row>
    <row r="5" spans="1:72" x14ac:dyDescent="0.25">
      <c r="A5" s="133"/>
      <c r="B5" s="23" t="s">
        <v>49</v>
      </c>
      <c r="C5" s="9" t="s">
        <v>45</v>
      </c>
      <c r="D5" s="9" t="s">
        <v>46</v>
      </c>
      <c r="E5" s="24">
        <v>70100387.550000012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>
        <v>25460258</v>
      </c>
      <c r="S5" s="24">
        <v>2252700.5</v>
      </c>
      <c r="T5" s="24"/>
      <c r="U5" s="20">
        <v>1682965.3</v>
      </c>
      <c r="V5" s="24"/>
      <c r="W5" s="24">
        <v>2441826.33</v>
      </c>
      <c r="X5" s="24"/>
      <c r="Y5" s="24">
        <v>2363047</v>
      </c>
      <c r="Z5" s="24"/>
      <c r="AA5" s="24">
        <v>2032269.57</v>
      </c>
      <c r="AB5" s="24"/>
      <c r="AC5" s="24">
        <v>2092418.7045100001</v>
      </c>
      <c r="AD5" s="24"/>
      <c r="AE5" s="24">
        <v>2152315.4837300004</v>
      </c>
      <c r="AF5" s="24"/>
      <c r="AG5" s="24">
        <v>2424081.1101600016</v>
      </c>
      <c r="AH5" s="24"/>
      <c r="AI5" s="24">
        <v>2338355.0009899992</v>
      </c>
      <c r="AJ5" s="24"/>
      <c r="AK5" s="24">
        <v>2299011.5682800007</v>
      </c>
      <c r="AL5" s="24"/>
      <c r="AM5" s="24">
        <v>2865823</v>
      </c>
      <c r="AN5" s="24"/>
      <c r="AO5" s="24">
        <v>2161674</v>
      </c>
      <c r="AP5" s="24"/>
      <c r="AQ5" s="24">
        <f>S5+U5+W5+Y5+AA5+AC5+AE5+AG5+AI5+AK5+AM5+AO5</f>
        <v>27106487.567669999</v>
      </c>
      <c r="AR5" s="24">
        <v>25595209</v>
      </c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5"/>
      <c r="BQ5" s="26"/>
    </row>
    <row r="6" spans="1:72" x14ac:dyDescent="0.25">
      <c r="A6" s="133"/>
      <c r="B6" s="27" t="s">
        <v>50</v>
      </c>
      <c r="C6" s="18" t="s">
        <v>45</v>
      </c>
      <c r="D6" s="19" t="s">
        <v>46</v>
      </c>
      <c r="E6" s="28">
        <v>9183677.1699999999</v>
      </c>
      <c r="F6" s="29">
        <v>547656.60000000021</v>
      </c>
      <c r="G6" s="29">
        <v>716452.99999999977</v>
      </c>
      <c r="H6" s="29">
        <v>839341</v>
      </c>
      <c r="I6" s="29">
        <v>685875.07</v>
      </c>
      <c r="J6" s="29">
        <v>707820.08000000019</v>
      </c>
      <c r="K6" s="29">
        <v>757307.64999999991</v>
      </c>
      <c r="L6" s="29">
        <v>760664.89000000013</v>
      </c>
      <c r="M6" s="29">
        <v>780230.92999999982</v>
      </c>
      <c r="N6" s="29">
        <v>702246.74000000011</v>
      </c>
      <c r="O6" s="29">
        <v>732494.32000000018</v>
      </c>
      <c r="P6" s="29">
        <v>730919.83</v>
      </c>
      <c r="Q6" s="29">
        <v>1004774.6999999998</v>
      </c>
      <c r="R6" s="28">
        <v>8965784.8100000005</v>
      </c>
      <c r="S6" s="28">
        <v>688832.29</v>
      </c>
      <c r="T6" s="28"/>
      <c r="U6" s="28">
        <f>9096.33+6275.56+3344.73+296774.74+108578.27+262323.04</f>
        <v>686392.66999999993</v>
      </c>
      <c r="V6" s="28"/>
      <c r="W6" s="28">
        <f>4520.3+15511.06+351172.19+127697.74+11803.47+305732.34</f>
        <v>816437.1</v>
      </c>
      <c r="X6" s="28"/>
      <c r="Y6" s="28">
        <f>3604.14+19554.95+288573.44+109785.81+14185.66+256119+6.11</f>
        <v>691829.11</v>
      </c>
      <c r="Z6" s="28"/>
      <c r="AA6" s="28">
        <v>708324.02</v>
      </c>
      <c r="AB6" s="28"/>
      <c r="AC6" s="28">
        <v>712820.25</v>
      </c>
      <c r="AD6" s="28"/>
      <c r="AE6" s="28">
        <v>699149.26296999981</v>
      </c>
      <c r="AF6" s="28"/>
      <c r="AG6" s="28">
        <v>733257.92</v>
      </c>
      <c r="AH6" s="28"/>
      <c r="AI6" s="28">
        <v>712598.30275000003</v>
      </c>
      <c r="AJ6" s="28"/>
      <c r="AK6" s="28">
        <v>848997</v>
      </c>
      <c r="AL6" s="28"/>
      <c r="AM6" s="28">
        <f>579989+21111</f>
        <v>601100</v>
      </c>
      <c r="AN6" s="28"/>
      <c r="AO6" s="28">
        <f>22899+854727</f>
        <v>877626</v>
      </c>
      <c r="AP6" s="28"/>
      <c r="AQ6" s="28">
        <f>S6+U6+W6+Y6+AA6+AC6+AE6+AG6+AI6+AK6+AM6+AO6</f>
        <v>8777363.9257199988</v>
      </c>
      <c r="AR6" s="28">
        <v>9383334.2800000012</v>
      </c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31"/>
      <c r="BQ6" s="32"/>
    </row>
    <row r="7" spans="1:72" x14ac:dyDescent="0.25">
      <c r="A7" s="133"/>
      <c r="B7" s="8" t="s">
        <v>51</v>
      </c>
      <c r="C7" s="9" t="s">
        <v>45</v>
      </c>
      <c r="D7" s="9" t="s">
        <v>46</v>
      </c>
      <c r="E7" s="33">
        <v>0.10100000000000001</v>
      </c>
      <c r="F7" s="34" t="s">
        <v>52</v>
      </c>
      <c r="G7" s="34" t="s">
        <v>52</v>
      </c>
      <c r="H7" s="34" t="s">
        <v>52</v>
      </c>
      <c r="I7" s="34" t="s">
        <v>52</v>
      </c>
      <c r="J7" s="34" t="s">
        <v>52</v>
      </c>
      <c r="K7" s="34" t="s">
        <v>52</v>
      </c>
      <c r="L7" s="34" t="s">
        <v>52</v>
      </c>
      <c r="M7" s="34" t="s">
        <v>52</v>
      </c>
      <c r="N7" s="34" t="s">
        <v>52</v>
      </c>
      <c r="O7" s="34" t="s">
        <v>52</v>
      </c>
      <c r="P7" s="34" t="s">
        <v>52</v>
      </c>
      <c r="Q7" s="34" t="s">
        <v>52</v>
      </c>
      <c r="R7" s="33">
        <v>0.112</v>
      </c>
      <c r="S7" s="35">
        <v>0.124</v>
      </c>
      <c r="T7" s="35"/>
      <c r="U7" s="35">
        <v>0.129</v>
      </c>
      <c r="V7" s="35"/>
      <c r="W7" s="35">
        <v>0.128</v>
      </c>
      <c r="X7" s="35"/>
      <c r="Y7" s="35">
        <v>0.127</v>
      </c>
      <c r="Z7" s="35"/>
      <c r="AA7" s="35">
        <v>0.12</v>
      </c>
      <c r="AB7" s="35"/>
      <c r="AC7" s="35">
        <v>0.12620000000000001</v>
      </c>
      <c r="AD7" s="35"/>
      <c r="AE7" s="35">
        <v>0.127</v>
      </c>
      <c r="AF7" s="35"/>
      <c r="AG7" s="35">
        <v>0.1308</v>
      </c>
      <c r="AH7" s="35"/>
      <c r="AI7" s="35">
        <v>0.1245</v>
      </c>
      <c r="AJ7" s="35"/>
      <c r="AK7" s="35">
        <v>0.13250000000000001</v>
      </c>
      <c r="AL7" s="35"/>
      <c r="AM7" s="35">
        <v>0.127</v>
      </c>
      <c r="AN7" s="35"/>
      <c r="AO7" s="35">
        <v>0.126</v>
      </c>
      <c r="AP7" s="35"/>
      <c r="AQ7" s="35">
        <f>(S7+U7+W7+Y7+AA7+AC7+AE7+AG7+AI7+AK7+AM7+AO7)/12</f>
        <v>0.12683333333333335</v>
      </c>
      <c r="AR7" s="38"/>
      <c r="AS7" s="35">
        <v>0.115</v>
      </c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4"/>
      <c r="BQ7" s="36"/>
    </row>
    <row r="8" spans="1:72" x14ac:dyDescent="0.25">
      <c r="A8" s="133"/>
      <c r="B8" s="27" t="s">
        <v>53</v>
      </c>
      <c r="C8" s="18" t="s">
        <v>45</v>
      </c>
      <c r="D8" s="19" t="s">
        <v>46</v>
      </c>
      <c r="E8" s="30" t="s">
        <v>54</v>
      </c>
      <c r="F8" s="30" t="s">
        <v>54</v>
      </c>
      <c r="G8" s="30" t="s">
        <v>54</v>
      </c>
      <c r="H8" s="30" t="s">
        <v>54</v>
      </c>
      <c r="I8" s="30" t="s">
        <v>54</v>
      </c>
      <c r="J8" s="30" t="s">
        <v>54</v>
      </c>
      <c r="K8" s="30" t="s">
        <v>54</v>
      </c>
      <c r="L8" s="30" t="s">
        <v>54</v>
      </c>
      <c r="M8" s="30" t="s">
        <v>54</v>
      </c>
      <c r="N8" s="30" t="s">
        <v>54</v>
      </c>
      <c r="O8" s="30" t="s">
        <v>54</v>
      </c>
      <c r="P8" s="30" t="s">
        <v>54</v>
      </c>
      <c r="Q8" s="30" t="s">
        <v>54</v>
      </c>
      <c r="R8" s="30" t="s">
        <v>54</v>
      </c>
      <c r="S8" s="28">
        <v>2341.71</v>
      </c>
      <c r="T8" s="28"/>
      <c r="U8" s="28">
        <v>8031.53</v>
      </c>
      <c r="V8" s="28"/>
      <c r="W8" s="28">
        <v>11631.8</v>
      </c>
      <c r="X8" s="28"/>
      <c r="Y8" s="28">
        <v>7621.8</v>
      </c>
      <c r="Z8" s="28"/>
      <c r="AA8" s="28">
        <v>4647.8900000000003</v>
      </c>
      <c r="AB8" s="28"/>
      <c r="AC8" s="28">
        <v>6264.52</v>
      </c>
      <c r="AD8" s="28"/>
      <c r="AE8" s="28">
        <v>5464.99</v>
      </c>
      <c r="AF8" s="28"/>
      <c r="AG8" s="28">
        <v>5028.7700000000004</v>
      </c>
      <c r="AH8" s="28"/>
      <c r="AI8" s="28">
        <v>7000.32</v>
      </c>
      <c r="AJ8" s="28"/>
      <c r="AK8" s="28">
        <v>4759.8599999999997</v>
      </c>
      <c r="AL8" s="28"/>
      <c r="AM8" s="28">
        <f>+'[2]Carence EH'!$I$6</f>
        <v>8341.16</v>
      </c>
      <c r="AN8" s="28"/>
      <c r="AO8" s="28">
        <f>+[3]Feuil1!$I$6</f>
        <v>6416.9100000000008</v>
      </c>
      <c r="AP8" s="28"/>
      <c r="AQ8" s="28">
        <f>S8+U8+W8+Y8+AA8+AC8+AE8+AG8+AI8+AK8+AM8+AO8</f>
        <v>77551.259999999995</v>
      </c>
      <c r="AR8" s="37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31"/>
      <c r="BQ8" s="32"/>
    </row>
    <row r="9" spans="1:72" x14ac:dyDescent="0.25">
      <c r="A9" s="133"/>
      <c r="B9" s="8" t="s">
        <v>55</v>
      </c>
      <c r="C9" s="9" t="s">
        <v>45</v>
      </c>
      <c r="D9" s="9" t="s">
        <v>46</v>
      </c>
      <c r="E9" s="33">
        <v>0.72070000000000001</v>
      </c>
      <c r="F9" s="38">
        <v>0.71060000000000001</v>
      </c>
      <c r="G9" s="38">
        <v>0.73740000000000006</v>
      </c>
      <c r="H9" s="38">
        <v>0.79910000000000003</v>
      </c>
      <c r="I9" s="38">
        <v>0.75249999999999995</v>
      </c>
      <c r="J9" s="38">
        <v>0.79100000000000004</v>
      </c>
      <c r="K9" s="38">
        <v>0.74790000000000001</v>
      </c>
      <c r="L9" s="38">
        <v>0.97809999999999997</v>
      </c>
      <c r="M9" s="38">
        <v>1.0075000000000001</v>
      </c>
      <c r="N9" s="38">
        <v>0.72389999999999999</v>
      </c>
      <c r="O9" s="38">
        <v>0.77410000000000001</v>
      </c>
      <c r="P9" s="38">
        <v>0.71879999999999999</v>
      </c>
      <c r="Q9" s="38">
        <v>0.81579999999999997</v>
      </c>
      <c r="R9" s="33">
        <f>SUM(F9:Q9)/12</f>
        <v>0.79639166666666672</v>
      </c>
      <c r="S9" s="35">
        <f>150.13/183</f>
        <v>0.82038251366120218</v>
      </c>
      <c r="T9" s="35"/>
      <c r="U9" s="35">
        <v>0.74770000000000003</v>
      </c>
      <c r="V9" s="35"/>
      <c r="W9" s="35">
        <v>0.75509999999999999</v>
      </c>
      <c r="X9" s="35"/>
      <c r="Y9" s="35">
        <v>0.76259999999999994</v>
      </c>
      <c r="Z9" s="35"/>
      <c r="AA9" s="35">
        <v>0.81930000000000003</v>
      </c>
      <c r="AB9" s="35"/>
      <c r="AC9" s="35">
        <v>0.74819999999999998</v>
      </c>
      <c r="AD9" s="35"/>
      <c r="AE9" s="35">
        <v>0.92430000000000001</v>
      </c>
      <c r="AF9" s="35"/>
      <c r="AG9" s="35">
        <v>0.89400000000000002</v>
      </c>
      <c r="AH9" s="35"/>
      <c r="AI9" s="35">
        <v>0.97599999999999998</v>
      </c>
      <c r="AJ9" s="35"/>
      <c r="AK9" s="35">
        <v>1.06</v>
      </c>
      <c r="AL9" s="35"/>
      <c r="AM9" s="35">
        <v>1.1424000000000001</v>
      </c>
      <c r="AN9" s="35"/>
      <c r="AO9" s="35">
        <v>1.1319999999999999</v>
      </c>
      <c r="AP9" s="35"/>
      <c r="AQ9" s="35">
        <f>(S9+U9+W9+Y9+AA9+AC9+AE9+AG9+AI9+AK9+AM9+AO9)/12</f>
        <v>0.89849854280510011</v>
      </c>
      <c r="AR9" s="34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4"/>
      <c r="BQ9" s="36"/>
    </row>
    <row r="10" spans="1:72" x14ac:dyDescent="0.25">
      <c r="A10" s="133"/>
      <c r="B10" s="27" t="s">
        <v>56</v>
      </c>
      <c r="C10" s="18" t="s">
        <v>45</v>
      </c>
      <c r="D10" s="19" t="s">
        <v>46</v>
      </c>
      <c r="E10" s="39">
        <v>33959</v>
      </c>
      <c r="F10" s="40" t="s">
        <v>52</v>
      </c>
      <c r="G10" s="40" t="s">
        <v>52</v>
      </c>
      <c r="H10" s="40" t="s">
        <v>52</v>
      </c>
      <c r="I10" s="40" t="s">
        <v>52</v>
      </c>
      <c r="J10" s="40" t="s">
        <v>52</v>
      </c>
      <c r="K10" s="40" t="s">
        <v>52</v>
      </c>
      <c r="L10" s="40" t="s">
        <v>52</v>
      </c>
      <c r="M10" s="40" t="s">
        <v>52</v>
      </c>
      <c r="N10" s="40" t="s">
        <v>52</v>
      </c>
      <c r="O10" s="40" t="s">
        <v>52</v>
      </c>
      <c r="P10" s="40" t="s">
        <v>52</v>
      </c>
      <c r="Q10" s="40" t="s">
        <v>52</v>
      </c>
      <c r="R10" s="39">
        <v>27972</v>
      </c>
      <c r="S10" s="41">
        <v>2280.2199999999998</v>
      </c>
      <c r="T10" s="41"/>
      <c r="U10" s="41">
        <v>1822.22</v>
      </c>
      <c r="V10" s="41"/>
      <c r="W10" s="41">
        <v>2023.22</v>
      </c>
      <c r="X10" s="41"/>
      <c r="Y10" s="41">
        <v>2236.2199999999998</v>
      </c>
      <c r="Z10" s="41"/>
      <c r="AA10" s="42">
        <v>6126</v>
      </c>
      <c r="AB10" s="41"/>
      <c r="AC10" s="41">
        <v>5503</v>
      </c>
      <c r="AD10" s="41"/>
      <c r="AE10" s="41">
        <v>2860</v>
      </c>
      <c r="AF10" s="41"/>
      <c r="AG10" s="41">
        <v>2401</v>
      </c>
      <c r="AH10" s="41"/>
      <c r="AI10" s="41">
        <v>2375</v>
      </c>
      <c r="AJ10" s="41"/>
      <c r="AK10" s="41" t="s">
        <v>54</v>
      </c>
      <c r="AL10" s="41"/>
      <c r="AM10" s="41" t="s">
        <v>54</v>
      </c>
      <c r="AN10" s="41"/>
      <c r="AO10" s="41" t="s">
        <v>54</v>
      </c>
      <c r="AP10" s="41"/>
      <c r="AQ10" s="41" t="e">
        <f>S10+U10+W10+Y10+AA10+AC10+AE10+AG10+AI10+AK10+AM10+AO10</f>
        <v>#VALUE!</v>
      </c>
      <c r="AR10" s="31"/>
      <c r="AS10" s="41">
        <v>84571</v>
      </c>
      <c r="AT10" s="41"/>
      <c r="AU10" s="41"/>
      <c r="AV10" s="41"/>
      <c r="AW10" s="41"/>
      <c r="AX10" s="41"/>
      <c r="AY10" s="41"/>
      <c r="AZ10" s="41"/>
      <c r="BA10" s="42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31"/>
      <c r="BQ10" s="32"/>
    </row>
    <row r="11" spans="1:72" x14ac:dyDescent="0.25">
      <c r="A11" s="133"/>
      <c r="B11" s="8" t="s">
        <v>57</v>
      </c>
      <c r="C11" s="9" t="s">
        <v>45</v>
      </c>
      <c r="D11" s="9" t="s">
        <v>46</v>
      </c>
      <c r="E11" s="12">
        <v>779421.15</v>
      </c>
      <c r="F11" s="34" t="s">
        <v>52</v>
      </c>
      <c r="G11" s="34" t="s">
        <v>52</v>
      </c>
      <c r="H11" s="34" t="s">
        <v>52</v>
      </c>
      <c r="I11" s="34" t="s">
        <v>52</v>
      </c>
      <c r="J11" s="34" t="s">
        <v>52</v>
      </c>
      <c r="K11" s="34" t="s">
        <v>52</v>
      </c>
      <c r="L11" s="34" t="s">
        <v>52</v>
      </c>
      <c r="M11" s="34" t="s">
        <v>52</v>
      </c>
      <c r="N11" s="34" t="s">
        <v>52</v>
      </c>
      <c r="O11" s="34" t="s">
        <v>52</v>
      </c>
      <c r="P11" s="34" t="s">
        <v>52</v>
      </c>
      <c r="Q11" s="34" t="s">
        <v>52</v>
      </c>
      <c r="R11" s="12">
        <v>1001632.75</v>
      </c>
      <c r="S11" s="12">
        <v>161930.95001999999</v>
      </c>
      <c r="T11" s="12" t="e">
        <f>+GETPIVOTDATA("Valeur Indicateur Coûts Paie Calendaire - 506",[4]Feuil1!$A$3,"Exercice - 000","2018","Mois - 000","01")</f>
        <v>#REF!</v>
      </c>
      <c r="U11" s="12">
        <v>4177.8100199999999</v>
      </c>
      <c r="V11" s="43" t="e">
        <f>+GETPIVOTDATA("Valeur Indicateur Coûts Paie Calendaire - 506",[4]Feuil1!$A$3,"Exercice - 000","2018","Mois - 000","01")</f>
        <v>#REF!</v>
      </c>
      <c r="W11" s="12">
        <v>97336.710020000013</v>
      </c>
      <c r="X11" s="12"/>
      <c r="Y11" s="12">
        <v>107416.22960000001</v>
      </c>
      <c r="Z11" s="44"/>
      <c r="AA11" s="12">
        <v>4177.8100199999999</v>
      </c>
      <c r="AB11" s="12"/>
      <c r="AC11" s="12">
        <v>4177.8100199999999</v>
      </c>
      <c r="AD11" s="10"/>
      <c r="AE11" s="10">
        <v>88451.530019999977</v>
      </c>
      <c r="AF11" s="10"/>
      <c r="AG11" s="10">
        <v>94008.999690000011</v>
      </c>
      <c r="AH11" s="10"/>
      <c r="AI11" s="10">
        <v>131131.45001999999</v>
      </c>
      <c r="AJ11" s="10"/>
      <c r="AK11" s="10">
        <v>113607.17048</v>
      </c>
      <c r="AL11" s="10"/>
      <c r="AM11" s="10">
        <v>51882.185829999995</v>
      </c>
      <c r="AN11" s="10"/>
      <c r="AO11" s="10">
        <v>64666.509850000017</v>
      </c>
      <c r="AP11" s="10"/>
      <c r="AQ11" s="10">
        <f>S11+U11+W11+Y11+AA11+AC11+AE11+AG11+AI11+AK11+AM11+AO11</f>
        <v>922965.16558999987</v>
      </c>
      <c r="AR11" s="34"/>
      <c r="AS11" s="12"/>
      <c r="AT11" s="12"/>
      <c r="AU11" s="12"/>
      <c r="AV11" s="43"/>
      <c r="AW11" s="12"/>
      <c r="AX11" s="12"/>
      <c r="AY11" s="12"/>
      <c r="AZ11" s="44"/>
      <c r="BA11" s="12"/>
      <c r="BB11" s="12"/>
      <c r="BC11" s="12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34"/>
      <c r="BQ11" s="36"/>
    </row>
    <row r="12" spans="1:72" s="49" customFormat="1" x14ac:dyDescent="0.25">
      <c r="A12" s="133"/>
      <c r="B12" s="27" t="s">
        <v>58</v>
      </c>
      <c r="C12" s="18" t="s">
        <v>45</v>
      </c>
      <c r="D12" s="19" t="s">
        <v>46</v>
      </c>
      <c r="E12" s="45">
        <v>6187715.0499999998</v>
      </c>
      <c r="F12" s="40" t="s">
        <v>52</v>
      </c>
      <c r="G12" s="40" t="s">
        <v>52</v>
      </c>
      <c r="H12" s="40" t="s">
        <v>52</v>
      </c>
      <c r="I12" s="40" t="s">
        <v>52</v>
      </c>
      <c r="J12" s="40" t="s">
        <v>52</v>
      </c>
      <c r="K12" s="40" t="s">
        <v>52</v>
      </c>
      <c r="L12" s="40" t="s">
        <v>52</v>
      </c>
      <c r="M12" s="40" t="s">
        <v>52</v>
      </c>
      <c r="N12" s="40" t="s">
        <v>52</v>
      </c>
      <c r="O12" s="40" t="s">
        <v>52</v>
      </c>
      <c r="P12" s="40" t="s">
        <v>52</v>
      </c>
      <c r="Q12" s="40" t="s">
        <v>52</v>
      </c>
      <c r="R12" s="45">
        <v>4817625.3099999996</v>
      </c>
      <c r="S12" s="45">
        <v>414862</v>
      </c>
      <c r="T12" s="46"/>
      <c r="U12" s="45">
        <v>349145</v>
      </c>
      <c r="V12" s="45"/>
      <c r="W12" s="45">
        <v>269871</v>
      </c>
      <c r="X12" s="45"/>
      <c r="Y12" s="45">
        <v>368536</v>
      </c>
      <c r="Z12" s="46"/>
      <c r="AA12" s="45">
        <v>303537</v>
      </c>
      <c r="AB12" s="45"/>
      <c r="AC12" s="45">
        <v>307797</v>
      </c>
      <c r="AD12" s="46"/>
      <c r="AE12" s="45">
        <v>354701</v>
      </c>
      <c r="AF12" s="46"/>
      <c r="AG12" s="45">
        <v>601177</v>
      </c>
      <c r="AH12" s="46"/>
      <c r="AI12" s="45">
        <v>492868</v>
      </c>
      <c r="AJ12" s="46"/>
      <c r="AK12" s="45">
        <v>356658.11113999999</v>
      </c>
      <c r="AL12" s="46"/>
      <c r="AM12" s="45">
        <f>+'[5]PAR POLE'!$M$6</f>
        <v>465438.95945999998</v>
      </c>
      <c r="AN12" s="45"/>
      <c r="AO12" s="45">
        <f>+'[5]PAR POLE'!$N$6</f>
        <v>348729.92277</v>
      </c>
      <c r="AP12" s="46"/>
      <c r="AQ12" s="28">
        <f>S12+U12+W12+Y12+AA12+AC12+AE12+AG12+AI12+AK12+AM12+AO12</f>
        <v>4633320.9933700003</v>
      </c>
      <c r="AR12" s="28">
        <v>491899</v>
      </c>
      <c r="AS12" s="45"/>
      <c r="AT12" s="46"/>
      <c r="AU12" s="45"/>
      <c r="AV12" s="45"/>
      <c r="AW12" s="45"/>
      <c r="AX12" s="45"/>
      <c r="AY12" s="45"/>
      <c r="AZ12" s="46"/>
      <c r="BA12" s="45"/>
      <c r="BB12" s="45"/>
      <c r="BC12" s="45"/>
      <c r="BD12" s="46"/>
      <c r="BE12" s="45"/>
      <c r="BF12" s="46"/>
      <c r="BG12" s="45"/>
      <c r="BH12" s="46"/>
      <c r="BI12" s="45"/>
      <c r="BJ12" s="46"/>
      <c r="BK12" s="45"/>
      <c r="BL12" s="46"/>
      <c r="BM12" s="45"/>
      <c r="BN12" s="45"/>
      <c r="BO12" s="45"/>
      <c r="BP12" s="47"/>
      <c r="BQ12" s="48"/>
    </row>
    <row r="13" spans="1:72" ht="14.45" customHeight="1" x14ac:dyDescent="0.25">
      <c r="A13" s="134" t="s">
        <v>59</v>
      </c>
      <c r="B13" s="8" t="s">
        <v>60</v>
      </c>
      <c r="C13" s="9" t="s">
        <v>45</v>
      </c>
      <c r="D13" s="9" t="s">
        <v>61</v>
      </c>
      <c r="E13" s="10">
        <v>58823228.309999995</v>
      </c>
      <c r="F13" s="11">
        <v>4455340.7</v>
      </c>
      <c r="G13" s="11">
        <v>5193973.290000001</v>
      </c>
      <c r="H13" s="11">
        <v>4228122.0199999996</v>
      </c>
      <c r="I13" s="11">
        <v>4752111.1899999995</v>
      </c>
      <c r="J13" s="11">
        <v>4662643.3699999992</v>
      </c>
      <c r="K13" s="11">
        <v>4490139.3</v>
      </c>
      <c r="L13" s="11">
        <v>4889661.5700000012</v>
      </c>
      <c r="M13" s="11">
        <v>4790717.6899999995</v>
      </c>
      <c r="N13" s="11">
        <v>4299705.3</v>
      </c>
      <c r="O13" s="11">
        <v>5232424.8100000005</v>
      </c>
      <c r="P13" s="11">
        <v>5217960.6899999995</v>
      </c>
      <c r="Q13" s="11">
        <v>7217839.4499999974</v>
      </c>
      <c r="R13" s="10">
        <f>SUM(F13:Q13)</f>
        <v>59430639.379999995</v>
      </c>
      <c r="S13" s="10">
        <v>3919177.69</v>
      </c>
      <c r="T13" s="10"/>
      <c r="U13" s="10">
        <v>4362480</v>
      </c>
      <c r="V13" s="10"/>
      <c r="W13" s="10">
        <v>5077021.5</v>
      </c>
      <c r="X13" s="10"/>
      <c r="Y13" s="10">
        <v>4552881</v>
      </c>
      <c r="Z13" s="10"/>
      <c r="AA13" s="10">
        <v>4314218.87</v>
      </c>
      <c r="AB13" s="10"/>
      <c r="AC13" s="10">
        <v>4147043.4200000009</v>
      </c>
      <c r="AD13" s="10"/>
      <c r="AE13" s="10">
        <v>4040749</v>
      </c>
      <c r="AF13" s="10"/>
      <c r="AG13" s="10">
        <v>6792210.5899999999</v>
      </c>
      <c r="AH13" s="10"/>
      <c r="AI13" s="10">
        <v>5485676.3899999997</v>
      </c>
      <c r="AJ13" s="10"/>
      <c r="AK13" s="10">
        <v>4987010.38</v>
      </c>
      <c r="AL13" s="10"/>
      <c r="AM13" s="10">
        <v>3969410.36</v>
      </c>
      <c r="AN13" s="10"/>
      <c r="AO13" s="10"/>
      <c r="AP13" s="10"/>
      <c r="AQ13" s="10">
        <f>S13+U13+W13+Y13+AA13+AC13+AE13+AG13+AI13+AK13+AM13+AO13</f>
        <v>51647879.200000003</v>
      </c>
      <c r="AR13" s="11">
        <v>58554273</v>
      </c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34"/>
      <c r="BQ13" s="36"/>
      <c r="BT13" s="50"/>
    </row>
    <row r="14" spans="1:72" s="56" customFormat="1" ht="14.45" customHeight="1" x14ac:dyDescent="0.25">
      <c r="A14" s="134"/>
      <c r="B14" s="104" t="s">
        <v>62</v>
      </c>
      <c r="C14" s="51"/>
      <c r="D14" s="51"/>
      <c r="E14" s="52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2"/>
      <c r="S14" s="106">
        <f>3919177.69-S15</f>
        <v>3908896.3</v>
      </c>
      <c r="T14" s="106">
        <f t="shared" ref="T14" si="9">3919177.69-T15</f>
        <v>3919177.69</v>
      </c>
      <c r="U14" s="106">
        <f>4362480.81-U15</f>
        <v>4251196.72</v>
      </c>
      <c r="V14" s="106">
        <f t="shared" ref="V14" si="10">4362480.81-V15</f>
        <v>4362480.8099999996</v>
      </c>
      <c r="W14" s="106">
        <f>5077021.35-W15</f>
        <v>5053606.51</v>
      </c>
      <c r="X14" s="106">
        <f t="shared" ref="X14" si="11">5077021.35-X15</f>
        <v>5077021.3499999996</v>
      </c>
      <c r="Y14" s="106">
        <f>4552881.55-Y15</f>
        <v>4201562.7</v>
      </c>
      <c r="Z14" s="106">
        <f t="shared" ref="Z14" si="12">4552881.55-Z15</f>
        <v>4552881.55</v>
      </c>
      <c r="AA14" s="106">
        <f>4314218.87-AA15</f>
        <v>4200424.82</v>
      </c>
      <c r="AB14" s="106">
        <f t="shared" ref="AB14" si="13">4314218.87-AB15</f>
        <v>4314218.87</v>
      </c>
      <c r="AC14" s="106">
        <f>4147043.42-AC15</f>
        <v>3922209.4</v>
      </c>
      <c r="AD14" s="106"/>
      <c r="AE14" s="106">
        <f>+AE13-AE15</f>
        <v>4006521.62</v>
      </c>
      <c r="AF14" s="106">
        <f t="shared" ref="AF14:AH14" si="14">+AF13-AF15</f>
        <v>0</v>
      </c>
      <c r="AG14" s="106">
        <f t="shared" si="14"/>
        <v>6630903.4199999999</v>
      </c>
      <c r="AH14" s="106">
        <f t="shared" si="14"/>
        <v>0</v>
      </c>
      <c r="AI14" s="106">
        <f>+'[6]RECAP PAR UF'!$J$72</f>
        <v>5169312.38</v>
      </c>
      <c r="AJ14" s="106"/>
      <c r="AK14" s="106">
        <f>+'[7]RECAP PAR UF'!$P$73</f>
        <v>4839223.47</v>
      </c>
      <c r="AL14" s="106"/>
      <c r="AM14" s="20">
        <v>3850631.6600000006</v>
      </c>
      <c r="AN14" s="52"/>
      <c r="AO14" s="52"/>
      <c r="AP14" s="52"/>
      <c r="AQ14" s="52">
        <f t="shared" ref="AQ14:AQ16" si="15">S14+U14+W14+Y14+AA14+AC14+AE14+AG14+AI14+AK14+AM14+AO14</f>
        <v>50034489.000000007</v>
      </c>
      <c r="AR14" s="53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20"/>
      <c r="BN14" s="52"/>
      <c r="BO14" s="52"/>
      <c r="BP14" s="54"/>
      <c r="BQ14" s="55"/>
      <c r="BT14" s="57"/>
    </row>
    <row r="15" spans="1:72" s="56" customFormat="1" ht="14.45" customHeight="1" x14ac:dyDescent="0.25">
      <c r="A15" s="134"/>
      <c r="B15" s="104" t="s">
        <v>63</v>
      </c>
      <c r="C15" s="51"/>
      <c r="D15" s="51"/>
      <c r="E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2"/>
      <c r="S15" s="106">
        <v>10281.39</v>
      </c>
      <c r="T15" s="106"/>
      <c r="U15" s="106">
        <v>111284.09</v>
      </c>
      <c r="V15" s="106"/>
      <c r="W15" s="106">
        <v>23414.84</v>
      </c>
      <c r="X15" s="106"/>
      <c r="Y15" s="106">
        <v>351318.85</v>
      </c>
      <c r="Z15" s="106"/>
      <c r="AA15" s="106">
        <v>113794.05</v>
      </c>
      <c r="AB15" s="106"/>
      <c r="AC15" s="106">
        <v>224834.02</v>
      </c>
      <c r="AD15" s="106"/>
      <c r="AE15" s="106">
        <v>34227.379999999997</v>
      </c>
      <c r="AF15" s="106"/>
      <c r="AG15" s="106">
        <v>161307.17000000004</v>
      </c>
      <c r="AH15" s="106"/>
      <c r="AI15" s="106">
        <f>+'[6]RECAP PAR UF'!$J$70</f>
        <v>316364.01</v>
      </c>
      <c r="AJ15" s="106"/>
      <c r="AK15" s="106">
        <f>+'[7]RECAP PAR UF'!$J$69</f>
        <v>147786.91000000003</v>
      </c>
      <c r="AL15" s="106"/>
      <c r="AM15" s="106">
        <f>+'[8]RECAP PAR UF'!$J$70</f>
        <v>118778.69999999998</v>
      </c>
      <c r="AN15" s="52"/>
      <c r="AO15" s="52"/>
      <c r="AP15" s="52"/>
      <c r="AQ15" s="52">
        <f t="shared" si="15"/>
        <v>1613391.41</v>
      </c>
      <c r="AR15" s="53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52"/>
      <c r="BO15" s="52"/>
      <c r="BP15" s="54"/>
      <c r="BQ15" s="55"/>
      <c r="BT15" s="57"/>
    </row>
    <row r="16" spans="1:72" ht="14.45" customHeight="1" x14ac:dyDescent="0.25">
      <c r="A16" s="134"/>
      <c r="B16" s="105" t="s">
        <v>64</v>
      </c>
      <c r="C16" s="9"/>
      <c r="D16" s="9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0"/>
      <c r="S16" s="107">
        <v>2726</v>
      </c>
      <c r="T16" s="107"/>
      <c r="U16" s="107">
        <v>2376</v>
      </c>
      <c r="V16" s="107"/>
      <c r="W16" s="107">
        <v>2577</v>
      </c>
      <c r="X16" s="107"/>
      <c r="Y16" s="107">
        <v>2507</v>
      </c>
      <c r="Z16" s="107"/>
      <c r="AA16" s="107">
        <v>2554</v>
      </c>
      <c r="AB16" s="107"/>
      <c r="AC16" s="107">
        <v>2535</v>
      </c>
      <c r="AD16" s="107"/>
      <c r="AE16" s="107">
        <v>2709</v>
      </c>
      <c r="AF16" s="107"/>
      <c r="AG16" s="107">
        <v>2574</v>
      </c>
      <c r="AH16" s="107"/>
      <c r="AI16" s="107">
        <v>2562</v>
      </c>
      <c r="AJ16" s="107"/>
      <c r="AK16" s="107">
        <v>2826</v>
      </c>
      <c r="AL16" s="107"/>
      <c r="AM16" s="107">
        <v>2514</v>
      </c>
      <c r="AN16" s="107"/>
      <c r="AO16" s="107"/>
      <c r="AP16" s="107"/>
      <c r="AQ16" s="107">
        <f t="shared" si="15"/>
        <v>28460</v>
      </c>
      <c r="AR16" s="11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34"/>
      <c r="BQ16" s="36"/>
      <c r="BT16" s="58"/>
    </row>
    <row r="17" spans="1:69" x14ac:dyDescent="0.25">
      <c r="A17" s="134"/>
      <c r="B17" s="27" t="s">
        <v>65</v>
      </c>
      <c r="C17" s="18" t="s">
        <v>66</v>
      </c>
      <c r="D17" s="19" t="s">
        <v>46</v>
      </c>
      <c r="E17" s="39"/>
      <c r="F17" s="40" t="s">
        <v>52</v>
      </c>
      <c r="G17" s="40" t="s">
        <v>52</v>
      </c>
      <c r="H17" s="40" t="s">
        <v>52</v>
      </c>
      <c r="I17" s="40" t="s">
        <v>52</v>
      </c>
      <c r="J17" s="40" t="s">
        <v>52</v>
      </c>
      <c r="K17" s="40" t="s">
        <v>52</v>
      </c>
      <c r="L17" s="40" t="s">
        <v>52</v>
      </c>
      <c r="M17" s="40" t="s">
        <v>52</v>
      </c>
      <c r="N17" s="40" t="s">
        <v>52</v>
      </c>
      <c r="O17" s="40" t="s">
        <v>52</v>
      </c>
      <c r="P17" s="40" t="s">
        <v>52</v>
      </c>
      <c r="Q17" s="40" t="s">
        <v>52</v>
      </c>
      <c r="R17" s="39"/>
      <c r="S17" s="59" t="s">
        <v>54</v>
      </c>
      <c r="T17" s="59"/>
      <c r="U17" s="59" t="s">
        <v>54</v>
      </c>
      <c r="V17" s="59"/>
      <c r="W17" s="60">
        <v>0.90869999999999995</v>
      </c>
      <c r="X17" s="60"/>
      <c r="Y17" s="41" t="s">
        <v>54</v>
      </c>
      <c r="Z17" s="41"/>
      <c r="AA17" s="41" t="s">
        <v>67</v>
      </c>
      <c r="AB17" s="41"/>
      <c r="AC17" s="60">
        <v>0.85970000000000002</v>
      </c>
      <c r="AD17" s="41"/>
      <c r="AE17" s="41" t="s">
        <v>54</v>
      </c>
      <c r="AF17" s="41"/>
      <c r="AG17" s="41" t="s">
        <v>54</v>
      </c>
      <c r="AH17" s="41"/>
      <c r="AI17" s="60">
        <v>0.88470000000000004</v>
      </c>
      <c r="AJ17" s="41"/>
      <c r="AK17" s="41" t="s">
        <v>54</v>
      </c>
      <c r="AL17" s="41"/>
      <c r="AM17" s="41" t="s">
        <v>54</v>
      </c>
      <c r="AN17" s="41"/>
      <c r="AO17" s="60">
        <v>0.82930000000000004</v>
      </c>
      <c r="AP17" s="41"/>
      <c r="AQ17" s="60">
        <f>SUM(W17+AC17+AI17+AO17)/4</f>
        <v>0.87060000000000004</v>
      </c>
      <c r="AR17" s="31"/>
      <c r="AS17" s="59"/>
      <c r="AT17" s="59"/>
      <c r="AU17" s="59"/>
      <c r="AV17" s="59"/>
      <c r="AW17" s="60"/>
      <c r="AX17" s="60"/>
      <c r="AY17" s="41"/>
      <c r="AZ17" s="41"/>
      <c r="BA17" s="41"/>
      <c r="BB17" s="41"/>
      <c r="BC17" s="60"/>
      <c r="BD17" s="41"/>
      <c r="BE17" s="41"/>
      <c r="BF17" s="41"/>
      <c r="BG17" s="41"/>
      <c r="BH17" s="41"/>
      <c r="BI17" s="60"/>
      <c r="BJ17" s="41"/>
      <c r="BK17" s="41"/>
      <c r="BL17" s="41"/>
      <c r="BM17" s="41"/>
      <c r="BN17" s="41"/>
      <c r="BO17" s="60"/>
      <c r="BP17" s="31"/>
      <c r="BQ17" s="32"/>
    </row>
    <row r="18" spans="1:69" x14ac:dyDescent="0.25">
      <c r="A18" s="134"/>
      <c r="B18" s="8" t="s">
        <v>68</v>
      </c>
      <c r="C18" s="9" t="s">
        <v>66</v>
      </c>
      <c r="D18" s="9" t="s">
        <v>46</v>
      </c>
      <c r="E18" s="13"/>
      <c r="F18" s="34" t="s">
        <v>52</v>
      </c>
      <c r="G18" s="34" t="s">
        <v>52</v>
      </c>
      <c r="H18" s="34" t="s">
        <v>52</v>
      </c>
      <c r="I18" s="34" t="s">
        <v>52</v>
      </c>
      <c r="J18" s="34" t="s">
        <v>52</v>
      </c>
      <c r="K18" s="34" t="s">
        <v>52</v>
      </c>
      <c r="L18" s="34" t="s">
        <v>52</v>
      </c>
      <c r="M18" s="34" t="s">
        <v>52</v>
      </c>
      <c r="N18" s="34" t="s">
        <v>52</v>
      </c>
      <c r="O18" s="34" t="s">
        <v>52</v>
      </c>
      <c r="P18" s="34" t="s">
        <v>52</v>
      </c>
      <c r="Q18" s="34" t="s">
        <v>52</v>
      </c>
      <c r="R18" s="13"/>
      <c r="S18" s="12" t="s">
        <v>54</v>
      </c>
      <c r="T18" s="12"/>
      <c r="U18" s="12" t="s">
        <v>54</v>
      </c>
      <c r="V18" s="12"/>
      <c r="W18" s="16">
        <v>2.31</v>
      </c>
      <c r="X18" s="16"/>
      <c r="Y18" s="10" t="s">
        <v>54</v>
      </c>
      <c r="Z18" s="10"/>
      <c r="AA18" s="10" t="s">
        <v>67</v>
      </c>
      <c r="AB18" s="10"/>
      <c r="AC18" s="16">
        <v>2.23</v>
      </c>
      <c r="AD18" s="10"/>
      <c r="AE18" s="10" t="s">
        <v>54</v>
      </c>
      <c r="AF18" s="10"/>
      <c r="AG18" s="10" t="s">
        <v>54</v>
      </c>
      <c r="AH18" s="10"/>
      <c r="AI18" s="16">
        <v>2.2599999999999998</v>
      </c>
      <c r="AJ18" s="10"/>
      <c r="AK18" s="10" t="s">
        <v>54</v>
      </c>
      <c r="AL18" s="10"/>
      <c r="AM18" s="10" t="s">
        <v>54</v>
      </c>
      <c r="AN18" s="10"/>
      <c r="AO18" s="16">
        <v>2.2000000000000002</v>
      </c>
      <c r="AP18" s="10"/>
      <c r="AQ18" s="16">
        <f>SUM(W18+AC18+AI18+AO18)/4</f>
        <v>2.25</v>
      </c>
      <c r="AR18" s="34"/>
      <c r="AS18" s="12"/>
      <c r="AT18" s="12"/>
      <c r="AU18" s="12"/>
      <c r="AV18" s="12"/>
      <c r="AW18" s="16"/>
      <c r="AX18" s="16"/>
      <c r="AY18" s="10"/>
      <c r="AZ18" s="10"/>
      <c r="BA18" s="10"/>
      <c r="BB18" s="10"/>
      <c r="BC18" s="16"/>
      <c r="BD18" s="10"/>
      <c r="BE18" s="10"/>
      <c r="BF18" s="10"/>
      <c r="BG18" s="10"/>
      <c r="BH18" s="10"/>
      <c r="BI18" s="16"/>
      <c r="BJ18" s="10"/>
      <c r="BK18" s="10"/>
      <c r="BL18" s="10"/>
      <c r="BM18" s="10"/>
      <c r="BN18" s="10"/>
      <c r="BO18" s="16"/>
      <c r="BP18" s="34"/>
      <c r="BQ18" s="36"/>
    </row>
    <row r="19" spans="1:69" x14ac:dyDescent="0.25">
      <c r="A19" s="133" t="s">
        <v>69</v>
      </c>
      <c r="B19" s="27" t="s">
        <v>70</v>
      </c>
      <c r="C19" s="18" t="s">
        <v>45</v>
      </c>
      <c r="D19" s="19" t="s">
        <v>61</v>
      </c>
      <c r="E19" s="45">
        <v>810053</v>
      </c>
      <c r="F19" s="40" t="s">
        <v>52</v>
      </c>
      <c r="G19" s="40" t="s">
        <v>52</v>
      </c>
      <c r="H19" s="40" t="s">
        <v>52</v>
      </c>
      <c r="I19" s="40" t="s">
        <v>52</v>
      </c>
      <c r="J19" s="40" t="s">
        <v>52</v>
      </c>
      <c r="K19" s="40" t="s">
        <v>52</v>
      </c>
      <c r="L19" s="40" t="s">
        <v>52</v>
      </c>
      <c r="M19" s="40" t="s">
        <v>52</v>
      </c>
      <c r="N19" s="40" t="s">
        <v>52</v>
      </c>
      <c r="O19" s="40" t="s">
        <v>52</v>
      </c>
      <c r="P19" s="40" t="s">
        <v>52</v>
      </c>
      <c r="Q19" s="40" t="s">
        <v>52</v>
      </c>
      <c r="R19" s="45">
        <v>1977797.1</v>
      </c>
      <c r="S19" s="45">
        <f>+[9]réalisé!$B$46</f>
        <v>4459825.179999995</v>
      </c>
      <c r="T19" s="45"/>
      <c r="U19" s="45">
        <v>3714878</v>
      </c>
      <c r="V19" s="45"/>
      <c r="W19" s="45">
        <v>3066414</v>
      </c>
      <c r="X19" s="45"/>
      <c r="Y19" s="45">
        <v>3451670</v>
      </c>
      <c r="Z19" s="45"/>
      <c r="AA19" s="45">
        <v>2266484</v>
      </c>
      <c r="AB19" s="45"/>
      <c r="AC19" s="45">
        <v>5473958.0899999999</v>
      </c>
      <c r="AD19" s="45"/>
      <c r="AE19" s="45" t="s">
        <v>71</v>
      </c>
      <c r="AF19" s="45"/>
      <c r="AG19" s="45">
        <v>7205462.2599999998</v>
      </c>
      <c r="AH19" s="45"/>
      <c r="AI19" s="45">
        <v>6406136.9400000004</v>
      </c>
      <c r="AJ19" s="45"/>
      <c r="AK19" s="45">
        <v>2095064.55</v>
      </c>
      <c r="AL19" s="45"/>
      <c r="AM19" s="45">
        <v>6298807.2800000003</v>
      </c>
      <c r="AN19" s="45"/>
      <c r="AO19" s="45">
        <v>1348099.5</v>
      </c>
      <c r="AP19" s="28"/>
      <c r="AQ19" s="28">
        <f>AO19</f>
        <v>1348099.5</v>
      </c>
      <c r="AR19" s="31" t="s">
        <v>52</v>
      </c>
      <c r="AS19" s="45">
        <v>7932953.46</v>
      </c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31"/>
      <c r="BQ19" s="32"/>
    </row>
    <row r="20" spans="1:69" x14ac:dyDescent="0.25">
      <c r="A20" s="133"/>
      <c r="B20" s="8" t="s">
        <v>72</v>
      </c>
      <c r="C20" s="9" t="s">
        <v>73</v>
      </c>
      <c r="D20" s="9" t="s">
        <v>61</v>
      </c>
      <c r="E20" s="13"/>
      <c r="F20" s="34" t="s">
        <v>52</v>
      </c>
      <c r="G20" s="34" t="s">
        <v>52</v>
      </c>
      <c r="H20" s="34" t="s">
        <v>52</v>
      </c>
      <c r="I20" s="34" t="s">
        <v>52</v>
      </c>
      <c r="J20" s="34" t="s">
        <v>52</v>
      </c>
      <c r="K20" s="34" t="s">
        <v>52</v>
      </c>
      <c r="L20" s="34" t="s">
        <v>52</v>
      </c>
      <c r="M20" s="34" t="s">
        <v>52</v>
      </c>
      <c r="N20" s="34" t="s">
        <v>52</v>
      </c>
      <c r="O20" s="34" t="s">
        <v>52</v>
      </c>
      <c r="P20" s="34" t="s">
        <v>52</v>
      </c>
      <c r="Q20" s="34" t="s">
        <v>52</v>
      </c>
      <c r="R20" s="13"/>
      <c r="S20" s="10">
        <v>12186614.329999948</v>
      </c>
      <c r="T20" s="10"/>
      <c r="U20" s="10" t="s">
        <v>67</v>
      </c>
      <c r="V20" s="10"/>
      <c r="W20" s="10">
        <v>13642661</v>
      </c>
      <c r="X20" s="10"/>
      <c r="Y20" s="10" t="s">
        <v>67</v>
      </c>
      <c r="Z20" s="10"/>
      <c r="AA20" s="10">
        <v>13890953.130000001</v>
      </c>
      <c r="AB20" s="10"/>
      <c r="AC20" s="10" t="s">
        <v>54</v>
      </c>
      <c r="AD20" s="10"/>
      <c r="AE20" s="10">
        <v>13911519.369999999</v>
      </c>
      <c r="AF20" s="10"/>
      <c r="AG20" s="10" t="s">
        <v>54</v>
      </c>
      <c r="AH20" s="10"/>
      <c r="AI20" s="10">
        <v>12219982.27</v>
      </c>
      <c r="AJ20" s="10"/>
      <c r="AK20" s="10" t="s">
        <v>54</v>
      </c>
      <c r="AL20" s="10"/>
      <c r="AM20" s="10" t="s">
        <v>54</v>
      </c>
      <c r="AN20" s="10"/>
      <c r="AO20" s="10">
        <v>15352800.17</v>
      </c>
      <c r="AP20" s="10"/>
      <c r="AQ20" s="10">
        <f>AO20</f>
        <v>15352800.17</v>
      </c>
      <c r="AR20" s="34" t="s">
        <v>52</v>
      </c>
      <c r="AS20" s="10">
        <v>12675413</v>
      </c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34"/>
      <c r="BQ20" s="36"/>
    </row>
    <row r="21" spans="1:69" x14ac:dyDescent="0.25">
      <c r="A21" s="133"/>
      <c r="B21" s="27" t="s">
        <v>74</v>
      </c>
      <c r="C21" s="18" t="s">
        <v>75</v>
      </c>
      <c r="D21" s="19" t="s">
        <v>61</v>
      </c>
      <c r="E21" s="39">
        <v>-6678496</v>
      </c>
      <c r="F21" s="40" t="s">
        <v>52</v>
      </c>
      <c r="G21" s="40" t="s">
        <v>52</v>
      </c>
      <c r="H21" s="40" t="s">
        <v>52</v>
      </c>
      <c r="I21" s="40" t="s">
        <v>52</v>
      </c>
      <c r="J21" s="40" t="s">
        <v>52</v>
      </c>
      <c r="K21" s="40" t="s">
        <v>52</v>
      </c>
      <c r="L21" s="40" t="s">
        <v>52</v>
      </c>
      <c r="M21" s="40" t="s">
        <v>52</v>
      </c>
      <c r="N21" s="40" t="s">
        <v>52</v>
      </c>
      <c r="O21" s="40" t="s">
        <v>52</v>
      </c>
      <c r="P21" s="40" t="s">
        <v>52</v>
      </c>
      <c r="Q21" s="40" t="s">
        <v>52</v>
      </c>
      <c r="R21" s="39">
        <v>-10149309</v>
      </c>
      <c r="S21" s="31" t="s">
        <v>52</v>
      </c>
      <c r="T21" s="31"/>
      <c r="U21" s="31" t="s">
        <v>52</v>
      </c>
      <c r="V21" s="31"/>
      <c r="W21" s="31" t="s">
        <v>52</v>
      </c>
      <c r="X21" s="31"/>
      <c r="Y21" s="31" t="s">
        <v>52</v>
      </c>
      <c r="Z21" s="31"/>
      <c r="AA21" s="31" t="s">
        <v>52</v>
      </c>
      <c r="AB21" s="31"/>
      <c r="AC21" s="31" t="s">
        <v>52</v>
      </c>
      <c r="AD21" s="31"/>
      <c r="AE21" s="31" t="s">
        <v>52</v>
      </c>
      <c r="AF21" s="31"/>
      <c r="AG21" s="31" t="s">
        <v>52</v>
      </c>
      <c r="AH21" s="31"/>
      <c r="AI21" s="31" t="s">
        <v>52</v>
      </c>
      <c r="AJ21" s="31"/>
      <c r="AK21" s="31" t="s">
        <v>52</v>
      </c>
      <c r="AL21" s="31"/>
      <c r="AM21" s="31" t="s">
        <v>52</v>
      </c>
      <c r="AN21" s="31"/>
      <c r="AO21" s="31" t="s">
        <v>52</v>
      </c>
      <c r="AP21" s="31"/>
      <c r="AQ21" s="31"/>
      <c r="AR21" s="39">
        <v>-10081079</v>
      </c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9"/>
      <c r="BQ21" s="39"/>
    </row>
    <row r="22" spans="1:69" x14ac:dyDescent="0.25">
      <c r="A22" s="133"/>
      <c r="B22" s="8" t="s">
        <v>76</v>
      </c>
      <c r="C22" s="9" t="s">
        <v>75</v>
      </c>
      <c r="D22" s="9" t="s">
        <v>61</v>
      </c>
      <c r="E22" s="13">
        <v>-7492922</v>
      </c>
      <c r="F22" s="34" t="s">
        <v>52</v>
      </c>
      <c r="G22" s="34" t="s">
        <v>52</v>
      </c>
      <c r="H22" s="34" t="s">
        <v>52</v>
      </c>
      <c r="I22" s="34" t="s">
        <v>52</v>
      </c>
      <c r="J22" s="34" t="s">
        <v>52</v>
      </c>
      <c r="K22" s="34" t="s">
        <v>52</v>
      </c>
      <c r="L22" s="34" t="s">
        <v>52</v>
      </c>
      <c r="M22" s="34" t="s">
        <v>52</v>
      </c>
      <c r="N22" s="34" t="s">
        <v>52</v>
      </c>
      <c r="O22" s="34" t="s">
        <v>52</v>
      </c>
      <c r="P22" s="34" t="s">
        <v>52</v>
      </c>
      <c r="Q22" s="34" t="s">
        <v>52</v>
      </c>
      <c r="R22" s="13">
        <v>-11655451</v>
      </c>
      <c r="S22" s="34" t="s">
        <v>52</v>
      </c>
      <c r="T22" s="34"/>
      <c r="U22" s="34" t="s">
        <v>52</v>
      </c>
      <c r="V22" s="34"/>
      <c r="W22" s="34" t="s">
        <v>52</v>
      </c>
      <c r="X22" s="34"/>
      <c r="Y22" s="34" t="s">
        <v>52</v>
      </c>
      <c r="Z22" s="34"/>
      <c r="AA22" s="34" t="s">
        <v>52</v>
      </c>
      <c r="AB22" s="34"/>
      <c r="AC22" s="34" t="s">
        <v>52</v>
      </c>
      <c r="AD22" s="34"/>
      <c r="AE22" s="34" t="s">
        <v>52</v>
      </c>
      <c r="AF22" s="34"/>
      <c r="AG22" s="34" t="s">
        <v>52</v>
      </c>
      <c r="AH22" s="34"/>
      <c r="AI22" s="34" t="s">
        <v>52</v>
      </c>
      <c r="AJ22" s="34"/>
      <c r="AK22" s="34" t="s">
        <v>52</v>
      </c>
      <c r="AL22" s="34"/>
      <c r="AM22" s="34" t="s">
        <v>52</v>
      </c>
      <c r="AN22" s="34"/>
      <c r="AO22" s="34" t="s">
        <v>52</v>
      </c>
      <c r="AP22" s="34"/>
      <c r="AQ22" s="34"/>
      <c r="AR22" s="13">
        <v>-11576396</v>
      </c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13"/>
      <c r="BQ22" s="13"/>
    </row>
    <row r="23" spans="1:69" x14ac:dyDescent="0.25">
      <c r="A23" s="133"/>
      <c r="B23" s="27" t="s">
        <v>77</v>
      </c>
      <c r="C23" s="18" t="s">
        <v>75</v>
      </c>
      <c r="D23" s="19" t="s">
        <v>61</v>
      </c>
      <c r="E23" s="61"/>
      <c r="F23" s="40" t="s">
        <v>52</v>
      </c>
      <c r="G23" s="40" t="s">
        <v>52</v>
      </c>
      <c r="H23" s="40" t="s">
        <v>52</v>
      </c>
      <c r="I23" s="40" t="s">
        <v>52</v>
      </c>
      <c r="J23" s="40" t="s">
        <v>52</v>
      </c>
      <c r="K23" s="40" t="s">
        <v>52</v>
      </c>
      <c r="L23" s="40" t="s">
        <v>52</v>
      </c>
      <c r="M23" s="40" t="s">
        <v>52</v>
      </c>
      <c r="N23" s="40" t="s">
        <v>52</v>
      </c>
      <c r="O23" s="40" t="s">
        <v>52</v>
      </c>
      <c r="P23" s="40" t="s">
        <v>52</v>
      </c>
      <c r="Q23" s="40" t="s">
        <v>52</v>
      </c>
      <c r="R23" s="61">
        <v>-0.23449999999999999</v>
      </c>
      <c r="S23" s="40" t="s">
        <v>52</v>
      </c>
      <c r="T23" s="40"/>
      <c r="U23" s="40" t="s">
        <v>52</v>
      </c>
      <c r="V23" s="40"/>
      <c r="W23" s="40" t="s">
        <v>52</v>
      </c>
      <c r="X23" s="40"/>
      <c r="Y23" s="40" t="s">
        <v>52</v>
      </c>
      <c r="Z23" s="40"/>
      <c r="AA23" s="40" t="s">
        <v>52</v>
      </c>
      <c r="AB23" s="40"/>
      <c r="AC23" s="40" t="s">
        <v>52</v>
      </c>
      <c r="AD23" s="40"/>
      <c r="AE23" s="40" t="s">
        <v>52</v>
      </c>
      <c r="AF23" s="40"/>
      <c r="AG23" s="40" t="s">
        <v>52</v>
      </c>
      <c r="AH23" s="40"/>
      <c r="AI23" s="40" t="s">
        <v>52</v>
      </c>
      <c r="AJ23" s="40"/>
      <c r="AK23" s="40" t="s">
        <v>52</v>
      </c>
      <c r="AL23" s="40"/>
      <c r="AM23" s="40" t="s">
        <v>52</v>
      </c>
      <c r="AN23" s="40"/>
      <c r="AO23" s="40" t="s">
        <v>52</v>
      </c>
      <c r="AP23" s="40"/>
      <c r="AQ23" s="40"/>
      <c r="AR23" s="61">
        <v>-0.20830000000000001</v>
      </c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61"/>
      <c r="BQ23" s="61"/>
    </row>
    <row r="24" spans="1:69" x14ac:dyDescent="0.25">
      <c r="A24" s="135"/>
      <c r="B24" s="62" t="s">
        <v>78</v>
      </c>
      <c r="C24" s="63" t="s">
        <v>75</v>
      </c>
      <c r="D24" s="63" t="s">
        <v>61</v>
      </c>
      <c r="E24" s="64">
        <v>-4973939</v>
      </c>
      <c r="F24" s="65" t="s">
        <v>52</v>
      </c>
      <c r="G24" s="65" t="s">
        <v>52</v>
      </c>
      <c r="H24" s="65" t="s">
        <v>52</v>
      </c>
      <c r="I24" s="65" t="s">
        <v>52</v>
      </c>
      <c r="J24" s="65" t="s">
        <v>52</v>
      </c>
      <c r="K24" s="65" t="s">
        <v>52</v>
      </c>
      <c r="L24" s="65" t="s">
        <v>52</v>
      </c>
      <c r="M24" s="65" t="s">
        <v>52</v>
      </c>
      <c r="N24" s="65" t="s">
        <v>52</v>
      </c>
      <c r="O24" s="65" t="s">
        <v>52</v>
      </c>
      <c r="P24" s="65" t="s">
        <v>52</v>
      </c>
      <c r="Q24" s="65" t="s">
        <v>52</v>
      </c>
      <c r="R24" s="64">
        <v>-11421308</v>
      </c>
      <c r="S24" s="65" t="s">
        <v>52</v>
      </c>
      <c r="T24" s="65"/>
      <c r="U24" s="65" t="s">
        <v>52</v>
      </c>
      <c r="V24" s="65"/>
      <c r="W24" s="65" t="s">
        <v>52</v>
      </c>
      <c r="X24" s="65"/>
      <c r="Y24" s="65" t="s">
        <v>52</v>
      </c>
      <c r="Z24" s="65"/>
      <c r="AA24" s="65" t="s">
        <v>52</v>
      </c>
      <c r="AB24" s="65"/>
      <c r="AC24" s="65" t="s">
        <v>52</v>
      </c>
      <c r="AD24" s="65"/>
      <c r="AE24" s="65" t="s">
        <v>52</v>
      </c>
      <c r="AF24" s="65"/>
      <c r="AG24" s="65" t="s">
        <v>52</v>
      </c>
      <c r="AH24" s="65"/>
      <c r="AI24" s="65" t="s">
        <v>52</v>
      </c>
      <c r="AJ24" s="65"/>
      <c r="AK24" s="65" t="s">
        <v>52</v>
      </c>
      <c r="AL24" s="65"/>
      <c r="AM24" s="65" t="s">
        <v>52</v>
      </c>
      <c r="AN24" s="65"/>
      <c r="AO24" s="65" t="s">
        <v>52</v>
      </c>
      <c r="AP24" s="65"/>
      <c r="AQ24" s="65"/>
      <c r="AR24" s="64">
        <v>-8686393</v>
      </c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4"/>
      <c r="BQ24" s="64"/>
    </row>
    <row r="26" spans="1:69" s="66" customFormat="1" ht="12" x14ac:dyDescent="0.2">
      <c r="B26" s="67"/>
    </row>
    <row r="27" spans="1:69" x14ac:dyDescent="0.25">
      <c r="AJ27" s="70"/>
      <c r="BJ27" s="70"/>
    </row>
    <row r="28" spans="1:69" x14ac:dyDescent="0.25">
      <c r="B28" s="71" t="s">
        <v>79</v>
      </c>
      <c r="C28" s="72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/>
      <c r="AJ28" s="75"/>
      <c r="AO28" s="72"/>
      <c r="AP28" s="72"/>
      <c r="AQ28" s="72"/>
      <c r="AR28" s="72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4"/>
      <c r="BJ28" s="75"/>
    </row>
    <row r="29" spans="1:69" x14ac:dyDescent="0.25">
      <c r="B29" s="76"/>
      <c r="C29" s="77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9"/>
      <c r="AD29" s="79"/>
      <c r="AE29" s="79"/>
      <c r="AF29" s="79"/>
      <c r="AG29" s="79"/>
      <c r="AH29" s="79"/>
      <c r="AI29" s="80"/>
      <c r="AJ29" s="75"/>
      <c r="AO29" s="77"/>
      <c r="AP29" s="77"/>
      <c r="AQ29" s="77"/>
      <c r="AR29" s="77"/>
      <c r="AS29" s="77"/>
      <c r="AT29" s="78"/>
      <c r="AU29" s="78"/>
      <c r="AV29" s="78"/>
      <c r="AW29" s="78"/>
      <c r="AX29" s="78"/>
      <c r="AY29" s="78"/>
      <c r="AZ29" s="78"/>
      <c r="BA29" s="78"/>
      <c r="BB29" s="78"/>
      <c r="BC29" s="79"/>
      <c r="BD29" s="79"/>
      <c r="BE29" s="79"/>
      <c r="BF29" s="79"/>
      <c r="BG29" s="79"/>
      <c r="BH29" s="79"/>
      <c r="BI29" s="80"/>
      <c r="BJ29" s="75"/>
    </row>
    <row r="30" spans="1:69" x14ac:dyDescent="0.25">
      <c r="B30" s="81"/>
      <c r="C30" s="77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9"/>
      <c r="AD30" s="79"/>
      <c r="AE30" s="79"/>
      <c r="AF30" s="79"/>
      <c r="AG30" s="79"/>
      <c r="AH30" s="79"/>
      <c r="AI30" s="80"/>
      <c r="AJ30" s="75"/>
      <c r="AO30" s="77"/>
      <c r="AP30" s="77"/>
      <c r="AQ30" s="77"/>
      <c r="AR30" s="77"/>
      <c r="AS30" s="77"/>
      <c r="AT30" s="78"/>
      <c r="AU30" s="78"/>
      <c r="AV30" s="78"/>
      <c r="AW30" s="78"/>
      <c r="AX30" s="78"/>
      <c r="AY30" s="78"/>
      <c r="AZ30" s="78"/>
      <c r="BA30" s="78"/>
      <c r="BB30" s="78"/>
      <c r="BC30" s="79"/>
      <c r="BD30" s="79"/>
      <c r="BE30" s="79"/>
      <c r="BF30" s="79"/>
      <c r="BG30" s="79"/>
      <c r="BH30" s="79"/>
      <c r="BI30" s="80"/>
      <c r="BJ30" s="75"/>
    </row>
    <row r="31" spans="1:69" x14ac:dyDescent="0.25">
      <c r="B31" s="76"/>
      <c r="C31" s="77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9"/>
      <c r="AD31" s="79"/>
      <c r="AE31" s="79"/>
      <c r="AF31" s="79"/>
      <c r="AG31" s="79"/>
      <c r="AH31" s="79"/>
      <c r="AI31" s="80"/>
      <c r="AJ31" s="75"/>
      <c r="AO31" s="77"/>
      <c r="AP31" s="77"/>
      <c r="AQ31" s="77"/>
      <c r="AR31" s="77"/>
      <c r="AS31" s="77"/>
      <c r="AT31" s="78"/>
      <c r="AU31" s="78"/>
      <c r="AV31" s="78"/>
      <c r="AW31" s="78"/>
      <c r="AX31" s="78"/>
      <c r="AY31" s="78"/>
      <c r="AZ31" s="78"/>
      <c r="BA31" s="78"/>
      <c r="BB31" s="78"/>
      <c r="BC31" s="79"/>
      <c r="BD31" s="79"/>
      <c r="BE31" s="79"/>
      <c r="BF31" s="79"/>
      <c r="BG31" s="79"/>
      <c r="BH31" s="79"/>
      <c r="BI31" s="80"/>
      <c r="BJ31" s="75"/>
    </row>
    <row r="32" spans="1:69" x14ac:dyDescent="0.25">
      <c r="B32" s="81"/>
      <c r="C32" s="77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79"/>
      <c r="AE32" s="79"/>
      <c r="AF32" s="79"/>
      <c r="AG32" s="79"/>
      <c r="AH32" s="79"/>
      <c r="AI32" s="80"/>
      <c r="AJ32" s="75"/>
      <c r="AO32" s="77"/>
      <c r="AP32" s="77"/>
      <c r="AQ32" s="77"/>
      <c r="AR32" s="77"/>
      <c r="AS32" s="77"/>
      <c r="AT32" s="78"/>
      <c r="AU32" s="78"/>
      <c r="AV32" s="78"/>
      <c r="AW32" s="78"/>
      <c r="AX32" s="78"/>
      <c r="AY32" s="78"/>
      <c r="AZ32" s="78"/>
      <c r="BA32" s="78"/>
      <c r="BB32" s="78"/>
      <c r="BC32" s="79"/>
      <c r="BD32" s="79"/>
      <c r="BE32" s="79"/>
      <c r="BF32" s="79"/>
      <c r="BG32" s="79"/>
      <c r="BH32" s="79"/>
      <c r="BI32" s="80"/>
      <c r="BJ32" s="75"/>
    </row>
    <row r="33" spans="2:62" x14ac:dyDescent="0.25">
      <c r="B33" s="81"/>
      <c r="C33" s="77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9"/>
      <c r="AD33" s="79"/>
      <c r="AE33" s="79"/>
      <c r="AF33" s="79"/>
      <c r="AG33" s="79"/>
      <c r="AH33" s="79"/>
      <c r="AI33" s="80"/>
      <c r="AJ33" s="75"/>
      <c r="AO33" s="77"/>
      <c r="AP33" s="77"/>
      <c r="AQ33" s="77"/>
      <c r="AR33" s="77"/>
      <c r="AS33" s="77"/>
      <c r="AT33" s="78"/>
      <c r="AU33" s="78"/>
      <c r="AV33" s="78"/>
      <c r="AW33" s="78"/>
      <c r="AX33" s="78"/>
      <c r="AY33" s="78"/>
      <c r="AZ33" s="78"/>
      <c r="BA33" s="78"/>
      <c r="BB33" s="78"/>
      <c r="BC33" s="79"/>
      <c r="BD33" s="79"/>
      <c r="BE33" s="79"/>
      <c r="BF33" s="79"/>
      <c r="BG33" s="79"/>
      <c r="BH33" s="79"/>
      <c r="BI33" s="80"/>
      <c r="BJ33" s="75"/>
    </row>
    <row r="34" spans="2:62" x14ac:dyDescent="0.25">
      <c r="B34" s="81"/>
      <c r="C34" s="77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9"/>
      <c r="AD34" s="79"/>
      <c r="AE34" s="79"/>
      <c r="AF34" s="79"/>
      <c r="AG34" s="79"/>
      <c r="AH34" s="79"/>
      <c r="AI34" s="80"/>
      <c r="AJ34" s="75"/>
      <c r="AO34" s="77"/>
      <c r="AP34" s="77"/>
      <c r="AQ34" s="77"/>
      <c r="AR34" s="77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9"/>
      <c r="BD34" s="79"/>
      <c r="BE34" s="79"/>
      <c r="BF34" s="79"/>
      <c r="BG34" s="79"/>
      <c r="BH34" s="79"/>
      <c r="BI34" s="80"/>
      <c r="BJ34" s="75"/>
    </row>
    <row r="35" spans="2:62" x14ac:dyDescent="0.25">
      <c r="B35" s="81"/>
      <c r="C35" s="77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9"/>
      <c r="AD35" s="79"/>
      <c r="AE35" s="79"/>
      <c r="AF35" s="79"/>
      <c r="AG35" s="79"/>
      <c r="AH35" s="79"/>
      <c r="AI35" s="80"/>
      <c r="AJ35" s="75"/>
      <c r="AO35" s="77"/>
      <c r="AP35" s="77"/>
      <c r="AQ35" s="77"/>
      <c r="AR35" s="77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9"/>
      <c r="BE35" s="79"/>
      <c r="BF35" s="79"/>
      <c r="BG35" s="79"/>
      <c r="BH35" s="79"/>
      <c r="BI35" s="80"/>
      <c r="BJ35" s="75"/>
    </row>
    <row r="36" spans="2:62" x14ac:dyDescent="0.25">
      <c r="B36" s="81"/>
      <c r="C36" s="77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9"/>
      <c r="AD36" s="79"/>
      <c r="AE36" s="79"/>
      <c r="AF36" s="79"/>
      <c r="AG36" s="79"/>
      <c r="AH36" s="79"/>
      <c r="AI36" s="80"/>
      <c r="AJ36" s="75"/>
      <c r="AO36" s="77"/>
      <c r="AP36" s="77"/>
      <c r="AQ36" s="77"/>
      <c r="AR36" s="77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9"/>
      <c r="BD36" s="79"/>
      <c r="BE36" s="79"/>
      <c r="BF36" s="79"/>
      <c r="BG36" s="79"/>
      <c r="BH36" s="79"/>
      <c r="BI36" s="80"/>
      <c r="BJ36" s="75"/>
    </row>
    <row r="37" spans="2:62" x14ac:dyDescent="0.25">
      <c r="B37" s="76"/>
      <c r="C37" s="77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9"/>
      <c r="AD37" s="79"/>
      <c r="AE37" s="79"/>
      <c r="AF37" s="79"/>
      <c r="AG37" s="79"/>
      <c r="AH37" s="79"/>
      <c r="AI37" s="80"/>
      <c r="AJ37" s="75"/>
      <c r="AO37" s="77"/>
      <c r="AP37" s="77"/>
      <c r="AQ37" s="77"/>
      <c r="AR37" s="77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9"/>
      <c r="BD37" s="79"/>
      <c r="BE37" s="79"/>
      <c r="BF37" s="79"/>
      <c r="BG37" s="79"/>
      <c r="BH37" s="79"/>
      <c r="BI37" s="80"/>
      <c r="BJ37" s="75"/>
    </row>
    <row r="38" spans="2:62" x14ac:dyDescent="0.25">
      <c r="B38" s="82"/>
      <c r="C38" s="83"/>
      <c r="D38" s="83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J38" s="75"/>
      <c r="AO38" s="83"/>
      <c r="AP38" s="83"/>
      <c r="AQ38" s="83"/>
      <c r="AR38" s="83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80"/>
      <c r="BJ38" s="75"/>
    </row>
    <row r="39" spans="2:62" x14ac:dyDescent="0.25">
      <c r="B39" s="82"/>
      <c r="C39" s="83"/>
      <c r="D39" s="83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J39" s="75"/>
      <c r="AO39" s="83"/>
      <c r="AP39" s="83"/>
      <c r="AQ39" s="83"/>
      <c r="AR39" s="83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80"/>
      <c r="BJ39" s="75"/>
    </row>
    <row r="40" spans="2:62" x14ac:dyDescent="0.25">
      <c r="B40" s="82"/>
      <c r="C40" s="83"/>
      <c r="D40" s="83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J40" s="75"/>
      <c r="AO40" s="83"/>
      <c r="AP40" s="83"/>
      <c r="AQ40" s="83"/>
      <c r="AR40" s="83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80"/>
      <c r="BJ40" s="75"/>
    </row>
    <row r="41" spans="2:62" x14ac:dyDescent="0.25">
      <c r="B41" s="84"/>
      <c r="C41" s="83"/>
      <c r="D41" s="83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J41" s="70"/>
      <c r="AO41" s="83"/>
      <c r="AP41" s="83"/>
      <c r="AQ41" s="83"/>
      <c r="AR41" s="83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80"/>
      <c r="BJ41" s="70"/>
    </row>
    <row r="42" spans="2:62" x14ac:dyDescent="0.25">
      <c r="B42" s="82"/>
      <c r="C42" s="83"/>
      <c r="D42" s="83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J42" s="70"/>
      <c r="AO42" s="83"/>
      <c r="AP42" s="83"/>
      <c r="AQ42" s="83"/>
      <c r="AR42" s="83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80"/>
      <c r="BJ42" s="70"/>
    </row>
    <row r="43" spans="2:62" x14ac:dyDescent="0.25">
      <c r="B43" s="82"/>
      <c r="C43" s="83"/>
      <c r="D43" s="83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J43" s="70"/>
      <c r="AO43" s="83"/>
      <c r="AP43" s="83"/>
      <c r="AQ43" s="83"/>
      <c r="AR43" s="83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80"/>
      <c r="BJ43" s="70"/>
    </row>
    <row r="44" spans="2:62" x14ac:dyDescent="0.25">
      <c r="B44" s="82"/>
      <c r="C44" s="83"/>
      <c r="D44" s="83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J44" s="70"/>
      <c r="AO44" s="83"/>
      <c r="AP44" s="83"/>
      <c r="AQ44" s="83"/>
      <c r="AR44" s="83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80"/>
      <c r="BJ44" s="70"/>
    </row>
    <row r="45" spans="2:62" x14ac:dyDescent="0.25">
      <c r="B45" s="82"/>
      <c r="C45" s="83"/>
      <c r="D45" s="83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J45" s="70"/>
      <c r="AO45" s="83"/>
      <c r="AP45" s="83"/>
      <c r="AQ45" s="83"/>
      <c r="AR45" s="83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80"/>
      <c r="BJ45" s="70"/>
    </row>
    <row r="46" spans="2:62" x14ac:dyDescent="0.25">
      <c r="B46" s="82"/>
      <c r="C46" s="83"/>
      <c r="D46" s="83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J46" s="70"/>
      <c r="AO46" s="83"/>
      <c r="AP46" s="83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80"/>
      <c r="BJ46" s="70"/>
    </row>
    <row r="47" spans="2:62" x14ac:dyDescent="0.25">
      <c r="B47" s="82"/>
      <c r="C47" s="83"/>
      <c r="D47" s="83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80"/>
      <c r="AO47" s="83"/>
      <c r="AP47" s="83"/>
      <c r="AQ47" s="83"/>
      <c r="AR47" s="83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80"/>
    </row>
    <row r="48" spans="2:62" x14ac:dyDescent="0.25">
      <c r="B48" s="82"/>
      <c r="C48" s="83"/>
      <c r="D48" s="83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80"/>
      <c r="AO48" s="83"/>
      <c r="AP48" s="83"/>
      <c r="AQ48" s="83"/>
      <c r="AR48" s="83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80"/>
    </row>
    <row r="49" spans="2:61" x14ac:dyDescent="0.25">
      <c r="B49" s="82"/>
      <c r="C49" s="83"/>
      <c r="D49" s="83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80"/>
      <c r="AO49" s="83"/>
      <c r="AP49" s="83"/>
      <c r="AQ49" s="83"/>
      <c r="AR49" s="83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80"/>
    </row>
    <row r="50" spans="2:61" x14ac:dyDescent="0.25">
      <c r="B50" s="82"/>
      <c r="C50" s="83"/>
      <c r="D50" s="83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80"/>
      <c r="AO50" s="83"/>
      <c r="AP50" s="83"/>
      <c r="AQ50" s="83"/>
      <c r="AR50" s="83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80"/>
    </row>
    <row r="51" spans="2:61" x14ac:dyDescent="0.25">
      <c r="B51" s="85"/>
      <c r="C51" s="86"/>
      <c r="D51" s="86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8"/>
      <c r="AO51" s="86"/>
      <c r="AP51" s="86"/>
      <c r="AQ51" s="86"/>
      <c r="AR51" s="86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8"/>
    </row>
  </sheetData>
  <mergeCells count="3">
    <mergeCell ref="A2:A12"/>
    <mergeCell ref="A13:A18"/>
    <mergeCell ref="A19:A2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K23"/>
  <sheetViews>
    <sheetView workbookViewId="0">
      <selection activeCell="E23" sqref="E23"/>
    </sheetView>
  </sheetViews>
  <sheetFormatPr baseColWidth="10" defaultColWidth="11.5703125" defaultRowHeight="15" x14ac:dyDescent="0.25"/>
  <cols>
    <col min="1" max="1" width="9.140625" customWidth="1"/>
    <col min="2" max="2" width="40.5703125" customWidth="1"/>
    <col min="3" max="5" width="18.42578125" customWidth="1"/>
    <col min="6" max="7" width="16.42578125" customWidth="1"/>
    <col min="8" max="8" width="13.42578125" customWidth="1"/>
    <col min="9" max="9" width="13.140625" customWidth="1"/>
    <col min="10" max="10" width="11.42578125" customWidth="1"/>
  </cols>
  <sheetData>
    <row r="1" spans="1:11" ht="48" x14ac:dyDescent="0.25">
      <c r="A1" s="137" t="s">
        <v>101</v>
      </c>
      <c r="B1" s="137"/>
      <c r="C1" s="89" t="s">
        <v>102</v>
      </c>
      <c r="D1" s="89" t="s">
        <v>103</v>
      </c>
      <c r="E1" s="89" t="s">
        <v>84</v>
      </c>
      <c r="F1" s="90" t="s">
        <v>104</v>
      </c>
      <c r="G1" s="90" t="s">
        <v>85</v>
      </c>
      <c r="H1" s="89" t="s">
        <v>105</v>
      </c>
      <c r="I1" s="90" t="s">
        <v>106</v>
      </c>
      <c r="J1" s="90" t="s">
        <v>107</v>
      </c>
    </row>
    <row r="2" spans="1:11" x14ac:dyDescent="0.25">
      <c r="A2" s="138" t="s">
        <v>86</v>
      </c>
      <c r="B2" s="91" t="s">
        <v>87</v>
      </c>
      <c r="C2" s="92"/>
      <c r="D2" s="92"/>
      <c r="E2" s="92"/>
      <c r="F2" s="92"/>
      <c r="G2" s="92"/>
      <c r="H2" s="93" t="e">
        <f>(E2/D2)-1</f>
        <v>#DIV/0!</v>
      </c>
      <c r="I2" s="93" t="e">
        <f>(G2/C2)-1</f>
        <v>#DIV/0!</v>
      </c>
      <c r="J2" s="94" t="e">
        <f>(G2/D2)-1</f>
        <v>#DIV/0!</v>
      </c>
    </row>
    <row r="3" spans="1:11" x14ac:dyDescent="0.25">
      <c r="A3" s="138"/>
      <c r="B3" s="95" t="s">
        <v>88</v>
      </c>
      <c r="C3" s="92"/>
      <c r="D3" s="92"/>
      <c r="E3" s="92"/>
      <c r="F3" s="92"/>
      <c r="G3" s="92"/>
      <c r="H3" s="93" t="e">
        <f>(E3/D3)-1</f>
        <v>#DIV/0!</v>
      </c>
      <c r="I3" s="93" t="e">
        <f t="shared" ref="I3:I17" si="0">(G3/C3)-1</f>
        <v>#DIV/0!</v>
      </c>
      <c r="J3" s="94" t="e">
        <f t="shared" ref="J3:J17" si="1">(G3/D3)-1</f>
        <v>#DIV/0!</v>
      </c>
    </row>
    <row r="4" spans="1:11" x14ac:dyDescent="0.25">
      <c r="A4" s="138"/>
      <c r="B4" s="95" t="s">
        <v>89</v>
      </c>
      <c r="C4" s="92"/>
      <c r="D4" s="92"/>
      <c r="E4" s="92"/>
      <c r="F4" s="92"/>
      <c r="G4" s="92"/>
      <c r="H4" s="93" t="e">
        <f>(E4/D4)-1</f>
        <v>#DIV/0!</v>
      </c>
      <c r="I4" s="93" t="e">
        <f t="shared" si="0"/>
        <v>#DIV/0!</v>
      </c>
      <c r="J4" s="94" t="e">
        <f t="shared" si="1"/>
        <v>#DIV/0!</v>
      </c>
    </row>
    <row r="5" spans="1:11" x14ac:dyDescent="0.25">
      <c r="A5" s="138"/>
      <c r="B5" s="91" t="s">
        <v>90</v>
      </c>
      <c r="C5" s="92"/>
      <c r="D5" s="92"/>
      <c r="E5" s="92"/>
      <c r="F5" s="92"/>
      <c r="G5" s="92"/>
      <c r="H5" s="93" t="e">
        <f>(E5/D5)-1</f>
        <v>#DIV/0!</v>
      </c>
      <c r="I5" s="93" t="e">
        <f t="shared" si="0"/>
        <v>#DIV/0!</v>
      </c>
      <c r="J5" s="94" t="e">
        <f t="shared" si="1"/>
        <v>#DIV/0!</v>
      </c>
      <c r="K5" s="96"/>
    </row>
    <row r="6" spans="1:11" x14ac:dyDescent="0.25">
      <c r="A6" s="138"/>
      <c r="B6" s="91" t="s">
        <v>91</v>
      </c>
      <c r="C6" s="92"/>
      <c r="D6" s="92"/>
      <c r="E6" s="92"/>
      <c r="F6" s="92"/>
      <c r="G6" s="92"/>
      <c r="H6" s="93" t="e">
        <f>(E6/D6)-1</f>
        <v>#DIV/0!</v>
      </c>
      <c r="I6" s="93" t="e">
        <f t="shared" si="0"/>
        <v>#DIV/0!</v>
      </c>
      <c r="J6" s="94" t="e">
        <f t="shared" si="1"/>
        <v>#DIV/0!</v>
      </c>
    </row>
    <row r="7" spans="1:11" x14ac:dyDescent="0.25">
      <c r="A7" s="139" t="s">
        <v>92</v>
      </c>
      <c r="B7" s="139"/>
      <c r="C7" s="97">
        <f>+C2+C5+C6</f>
        <v>0</v>
      </c>
      <c r="D7" s="97">
        <f t="shared" ref="D7:F7" si="2">+D2+D5+D6</f>
        <v>0</v>
      </c>
      <c r="E7" s="97">
        <f t="shared" si="2"/>
        <v>0</v>
      </c>
      <c r="F7" s="97">
        <f t="shared" si="2"/>
        <v>0</v>
      </c>
      <c r="G7" s="97">
        <f>SUM(G2,G5,G6)</f>
        <v>0</v>
      </c>
      <c r="H7" s="98" t="e">
        <f t="shared" ref="H7" si="3">SUM(H2:H6)</f>
        <v>#DIV/0!</v>
      </c>
      <c r="I7" s="98" t="e">
        <f t="shared" si="0"/>
        <v>#DIV/0!</v>
      </c>
      <c r="J7" s="98" t="e">
        <f t="shared" si="1"/>
        <v>#DIV/0!</v>
      </c>
    </row>
    <row r="8" spans="1:11" x14ac:dyDescent="0.25">
      <c r="A8" s="138" t="s">
        <v>93</v>
      </c>
      <c r="B8" s="91" t="s">
        <v>87</v>
      </c>
      <c r="C8" s="92"/>
      <c r="D8" s="92"/>
      <c r="E8" s="92"/>
      <c r="F8" s="92"/>
      <c r="G8" s="92"/>
      <c r="H8" s="93" t="e">
        <f>(E8/D8)-1</f>
        <v>#DIV/0!</v>
      </c>
      <c r="I8" s="99" t="e">
        <f t="shared" si="0"/>
        <v>#DIV/0!</v>
      </c>
      <c r="J8" s="99" t="e">
        <f t="shared" si="1"/>
        <v>#DIV/0!</v>
      </c>
    </row>
    <row r="9" spans="1:11" x14ac:dyDescent="0.25">
      <c r="A9" s="138"/>
      <c r="B9" s="95" t="s">
        <v>94</v>
      </c>
      <c r="C9" s="92"/>
      <c r="D9" s="92"/>
      <c r="E9" s="92"/>
      <c r="F9" s="92"/>
      <c r="G9" s="92"/>
      <c r="H9" s="93" t="e">
        <f>(E9/D9)-1</f>
        <v>#DIV/0!</v>
      </c>
      <c r="I9" s="99" t="e">
        <f t="shared" si="0"/>
        <v>#DIV/0!</v>
      </c>
      <c r="J9" s="99" t="e">
        <f t="shared" si="1"/>
        <v>#DIV/0!</v>
      </c>
    </row>
    <row r="10" spans="1:11" x14ac:dyDescent="0.25">
      <c r="A10" s="138"/>
      <c r="B10" s="95" t="s">
        <v>95</v>
      </c>
      <c r="C10" s="92"/>
      <c r="D10" s="92"/>
      <c r="E10" s="92"/>
      <c r="F10" s="92"/>
      <c r="G10" s="92"/>
      <c r="H10" s="93" t="e">
        <f>(E10/D10)-1</f>
        <v>#DIV/0!</v>
      </c>
      <c r="I10" s="99" t="e">
        <f t="shared" si="0"/>
        <v>#DIV/0!</v>
      </c>
      <c r="J10" s="99" t="e">
        <f t="shared" si="1"/>
        <v>#DIV/0!</v>
      </c>
    </row>
    <row r="11" spans="1:11" x14ac:dyDescent="0.25">
      <c r="A11" s="138"/>
      <c r="B11" s="95" t="s">
        <v>96</v>
      </c>
      <c r="C11" s="92"/>
      <c r="D11" s="92"/>
      <c r="E11" s="92"/>
      <c r="F11" s="92"/>
      <c r="G11" s="92"/>
      <c r="H11" s="93" t="e">
        <f>(E11/D11)-1</f>
        <v>#DIV/0!</v>
      </c>
      <c r="I11" s="99" t="e">
        <f t="shared" si="0"/>
        <v>#DIV/0!</v>
      </c>
      <c r="J11" s="99" t="e">
        <f t="shared" si="1"/>
        <v>#DIV/0!</v>
      </c>
    </row>
    <row r="12" spans="1:11" x14ac:dyDescent="0.25">
      <c r="A12" s="138"/>
      <c r="B12" s="91" t="s">
        <v>90</v>
      </c>
      <c r="C12" s="92"/>
      <c r="D12" s="92"/>
      <c r="E12" s="92"/>
      <c r="F12" s="92"/>
      <c r="G12" s="92"/>
      <c r="H12" s="93" t="e">
        <f t="shared" ref="H12:H14" si="4">(E12/D12)-1</f>
        <v>#DIV/0!</v>
      </c>
      <c r="I12" s="99" t="e">
        <f t="shared" si="0"/>
        <v>#DIV/0!</v>
      </c>
      <c r="J12" s="99" t="e">
        <f t="shared" si="1"/>
        <v>#DIV/0!</v>
      </c>
    </row>
    <row r="13" spans="1:11" x14ac:dyDescent="0.25">
      <c r="A13" s="138"/>
      <c r="B13" s="91" t="s">
        <v>91</v>
      </c>
      <c r="C13" s="92"/>
      <c r="D13" s="92"/>
      <c r="E13" s="92"/>
      <c r="F13" s="92"/>
      <c r="G13" s="92"/>
      <c r="H13" s="93" t="e">
        <f t="shared" si="4"/>
        <v>#DIV/0!</v>
      </c>
      <c r="I13" s="99" t="e">
        <f t="shared" si="0"/>
        <v>#DIV/0!</v>
      </c>
      <c r="J13" s="99" t="e">
        <f t="shared" si="1"/>
        <v>#DIV/0!</v>
      </c>
    </row>
    <row r="14" spans="1:11" x14ac:dyDescent="0.25">
      <c r="A14" s="138"/>
      <c r="B14" s="91" t="s">
        <v>97</v>
      </c>
      <c r="C14" s="92"/>
      <c r="D14" s="92"/>
      <c r="E14" s="92"/>
      <c r="F14" s="92"/>
      <c r="G14" s="92"/>
      <c r="H14" s="93" t="e">
        <f t="shared" si="4"/>
        <v>#DIV/0!</v>
      </c>
      <c r="I14" s="99" t="e">
        <f t="shared" si="0"/>
        <v>#DIV/0!</v>
      </c>
      <c r="J14" s="99" t="e">
        <f t="shared" si="1"/>
        <v>#DIV/0!</v>
      </c>
    </row>
    <row r="15" spans="1:11" x14ac:dyDescent="0.25">
      <c r="A15" s="139" t="s">
        <v>98</v>
      </c>
      <c r="B15" s="139"/>
      <c r="C15" s="97">
        <f>+C8+C12+C13+C14</f>
        <v>0</v>
      </c>
      <c r="D15" s="97">
        <f t="shared" ref="D15:F15" si="5">+D8+D12+D13+D14</f>
        <v>0</v>
      </c>
      <c r="E15" s="97">
        <f t="shared" si="5"/>
        <v>0</v>
      </c>
      <c r="F15" s="97">
        <f t="shared" si="5"/>
        <v>0</v>
      </c>
      <c r="G15" s="97">
        <f>SUM(G12:G14,G8)</f>
        <v>0</v>
      </c>
      <c r="H15" s="98" t="e">
        <f t="shared" ref="H15" si="6">SUM(H8:H14)</f>
        <v>#DIV/0!</v>
      </c>
      <c r="I15" s="98" t="e">
        <f t="shared" si="0"/>
        <v>#DIV/0!</v>
      </c>
      <c r="J15" s="98" t="e">
        <f t="shared" si="1"/>
        <v>#DIV/0!</v>
      </c>
    </row>
    <row r="16" spans="1:11" x14ac:dyDescent="0.25">
      <c r="A16" s="140" t="s">
        <v>99</v>
      </c>
      <c r="B16" s="140"/>
      <c r="C16" s="100">
        <f>C7-C15</f>
        <v>0</v>
      </c>
      <c r="D16" s="100">
        <f>D7-D15</f>
        <v>0</v>
      </c>
      <c r="E16" s="100">
        <f>E7-E15</f>
        <v>0</v>
      </c>
      <c r="F16" s="100">
        <f>F7-F15</f>
        <v>0</v>
      </c>
      <c r="G16" s="100">
        <f>G7-G15</f>
        <v>0</v>
      </c>
      <c r="H16" s="101" t="e">
        <f>(E16/D16)-1</f>
        <v>#DIV/0!</v>
      </c>
      <c r="I16" s="99" t="e">
        <f t="shared" si="0"/>
        <v>#DIV/0!</v>
      </c>
      <c r="J16" s="99" t="e">
        <f t="shared" si="1"/>
        <v>#DIV/0!</v>
      </c>
    </row>
    <row r="17" spans="1:10" x14ac:dyDescent="0.25">
      <c r="A17" s="136" t="s">
        <v>100</v>
      </c>
      <c r="B17" s="136"/>
      <c r="C17" s="102">
        <f>C16-C6</f>
        <v>0</v>
      </c>
      <c r="D17" s="102">
        <f t="shared" ref="D17:F17" si="7">D16-D4</f>
        <v>0</v>
      </c>
      <c r="E17" s="102">
        <f>E16-E4</f>
        <v>0</v>
      </c>
      <c r="F17" s="102">
        <f t="shared" si="7"/>
        <v>0</v>
      </c>
      <c r="G17" s="102">
        <f>G16-G4</f>
        <v>0</v>
      </c>
      <c r="H17" s="103" t="e">
        <f>(E17/D17)-1</f>
        <v>#DIV/0!</v>
      </c>
      <c r="I17" s="103" t="e">
        <f t="shared" si="0"/>
        <v>#DIV/0!</v>
      </c>
      <c r="J17" s="103" t="e">
        <f t="shared" si="1"/>
        <v>#DIV/0!</v>
      </c>
    </row>
    <row r="20" spans="1:10" x14ac:dyDescent="0.25">
      <c r="H20" s="96"/>
    </row>
    <row r="21" spans="1:10" x14ac:dyDescent="0.25">
      <c r="H21" s="96"/>
    </row>
    <row r="22" spans="1:10" x14ac:dyDescent="0.25">
      <c r="G22" s="96"/>
    </row>
    <row r="23" spans="1:10" x14ac:dyDescent="0.25">
      <c r="G23" s="96"/>
    </row>
  </sheetData>
  <mergeCells count="7">
    <mergeCell ref="A17:B17"/>
    <mergeCell ref="A1:B1"/>
    <mergeCell ref="A2:A6"/>
    <mergeCell ref="A7:B7"/>
    <mergeCell ref="A8:A14"/>
    <mergeCell ref="A15:B15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ETPR PM PNM</vt:lpstr>
      <vt:lpstr>Indicateurs RH et Financiers</vt:lpstr>
      <vt:lpstr>Budget 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2025-05-12T08:53:00Z</dcterms:modified>
</cp:coreProperties>
</file>